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1355" windowHeight="7935" tabRatio="753" firstSheet="4" activeTab="12"/>
  </bookViews>
  <sheets>
    <sheet name="Prihodi - količinski" sheetId="1" r:id="rId1"/>
    <sheet name="Poslovni prihodi" sheetId="2" r:id="rId2"/>
    <sheet name="Finansijski prihodi" sheetId="6" r:id="rId3"/>
    <sheet name="Dugorocni finansijski plasmani" sheetId="11" r:id="rId4"/>
    <sheet name="Poslovni rashodi" sheetId="5" r:id="rId5"/>
    <sheet name="Amortizacija" sheetId="4" r:id="rId6"/>
    <sheet name="Krediti" sheetId="10" r:id="rId7"/>
    <sheet name="Finansijski rashodi" sheetId="8" r:id="rId8"/>
    <sheet name="Dugorocne obaveze" sheetId="13" r:id="rId9"/>
    <sheet name="Obrtna imovina" sheetId="9" r:id="rId10"/>
    <sheet name="BU" sheetId="3" r:id="rId11"/>
    <sheet name="BS" sheetId="7" r:id="rId12"/>
    <sheet name="NT" sheetId="15" r:id="rId13"/>
  </sheets>
  <calcPr calcId="144525"/>
</workbook>
</file>

<file path=xl/calcChain.xml><?xml version="1.0" encoding="utf-8"?>
<calcChain xmlns="http://schemas.openxmlformats.org/spreadsheetml/2006/main">
  <c r="H4" i="9" l="1"/>
  <c r="I4" i="9" s="1"/>
  <c r="J4" i="9" s="1"/>
  <c r="K4" i="9" s="1"/>
  <c r="L4" i="9" s="1"/>
  <c r="G4" i="9"/>
  <c r="D3" i="5"/>
  <c r="E3" i="5" s="1"/>
  <c r="F3" i="5" s="1"/>
  <c r="G3" i="5" s="1"/>
  <c r="H3" i="5" s="1"/>
  <c r="I3" i="5" s="1"/>
  <c r="D2" i="11"/>
  <c r="E2" i="11" s="1"/>
  <c r="F2" i="11" s="1"/>
  <c r="G2" i="11" s="1"/>
  <c r="H2" i="11" s="1"/>
  <c r="I2" i="11" s="1"/>
  <c r="D2" i="2"/>
  <c r="E2" i="2" s="1"/>
  <c r="F2" i="2" s="1"/>
  <c r="G2" i="2" s="1"/>
  <c r="H2" i="2" s="1"/>
  <c r="I2" i="2" s="1"/>
  <c r="F4" i="1"/>
  <c r="G4" i="1" s="1"/>
  <c r="H4" i="1" s="1"/>
  <c r="I4" i="1" s="1"/>
  <c r="J4" i="1" s="1"/>
  <c r="E4" i="1"/>
  <c r="D16" i="15"/>
  <c r="D21" i="15"/>
  <c r="D24" i="15"/>
  <c r="D31" i="15"/>
  <c r="D39" i="15"/>
  <c r="E16" i="15"/>
  <c r="E21" i="15"/>
  <c r="E24" i="15"/>
  <c r="E31" i="15"/>
  <c r="F16" i="15"/>
  <c r="F21" i="15"/>
  <c r="F24" i="15"/>
  <c r="F31" i="15"/>
  <c r="G16" i="15"/>
  <c r="G21" i="15"/>
  <c r="G24" i="15"/>
  <c r="G31" i="15"/>
  <c r="H16" i="15"/>
  <c r="H21" i="15"/>
  <c r="H24" i="15"/>
  <c r="H31" i="15"/>
  <c r="I16" i="15"/>
  <c r="I21" i="15"/>
  <c r="I24" i="15"/>
  <c r="I31" i="15"/>
  <c r="N9" i="9"/>
  <c r="E40" i="7"/>
  <c r="E30" i="15"/>
  <c r="F40" i="7"/>
  <c r="F30" i="15"/>
  <c r="G40" i="7"/>
  <c r="G30" i="15"/>
  <c r="H40" i="7"/>
  <c r="H30" i="15"/>
  <c r="I40" i="7"/>
  <c r="I30" i="15"/>
  <c r="D40" i="7"/>
  <c r="D30" i="15"/>
  <c r="E39" i="7"/>
  <c r="E29" i="15"/>
  <c r="F39" i="7"/>
  <c r="F29" i="15"/>
  <c r="G39" i="7"/>
  <c r="G29" i="15"/>
  <c r="H39" i="7"/>
  <c r="H29" i="15"/>
  <c r="I39" i="7"/>
  <c r="I29" i="15"/>
  <c r="D39" i="7"/>
  <c r="D29" i="15"/>
  <c r="E5" i="11"/>
  <c r="E14" i="7"/>
  <c r="F5" i="11"/>
  <c r="F14" i="7"/>
  <c r="G5" i="11"/>
  <c r="G14" i="7"/>
  <c r="H5" i="11"/>
  <c r="H14" i="7"/>
  <c r="I5" i="11"/>
  <c r="I14" i="7"/>
  <c r="I12" i="7"/>
  <c r="D5" i="11"/>
  <c r="D14" i="7"/>
  <c r="D7" i="13"/>
  <c r="E7" i="13"/>
  <c r="F7" i="13"/>
  <c r="G7" i="13"/>
  <c r="H7" i="13"/>
  <c r="I7" i="13"/>
  <c r="C7" i="13"/>
  <c r="I53" i="10"/>
  <c r="I4" i="8"/>
  <c r="I6" i="8"/>
  <c r="I18" i="3"/>
  <c r="I33" i="15"/>
  <c r="I50" i="10"/>
  <c r="H4" i="8"/>
  <c r="H6" i="8"/>
  <c r="H18" i="3"/>
  <c r="H33" i="15"/>
  <c r="I46" i="10"/>
  <c r="G4" i="8"/>
  <c r="G6" i="8"/>
  <c r="G18" i="3"/>
  <c r="G33" i="15"/>
  <c r="I42" i="10"/>
  <c r="F4" i="8"/>
  <c r="F6" i="8"/>
  <c r="F18" i="3"/>
  <c r="F33" i="15"/>
  <c r="I38" i="10"/>
  <c r="E4" i="8"/>
  <c r="E6" i="8"/>
  <c r="E18" i="3"/>
  <c r="E33" i="15"/>
  <c r="I34" i="10"/>
  <c r="D4" i="8"/>
  <c r="D6" i="8"/>
  <c r="D18" i="3"/>
  <c r="D33" i="15"/>
  <c r="I80" i="10"/>
  <c r="I24" i="10"/>
  <c r="I22" i="10"/>
  <c r="I18" i="10"/>
  <c r="D38" i="7"/>
  <c r="E38" i="7"/>
  <c r="F38" i="7"/>
  <c r="G38" i="7"/>
  <c r="H38" i="7"/>
  <c r="I38" i="7"/>
  <c r="C16" i="9"/>
  <c r="C14" i="9"/>
  <c r="C12" i="9"/>
  <c r="C10" i="9"/>
  <c r="C6" i="9"/>
  <c r="C8" i="9"/>
  <c r="D13" i="3"/>
  <c r="D15" i="4"/>
  <c r="D18" i="4"/>
  <c r="D16" i="4"/>
  <c r="E15" i="4"/>
  <c r="E18" i="4"/>
  <c r="E16" i="4"/>
  <c r="F15" i="4"/>
  <c r="F18" i="4"/>
  <c r="F16" i="4"/>
  <c r="G15" i="4"/>
  <c r="G18" i="4"/>
  <c r="G16" i="4"/>
  <c r="H15" i="4"/>
  <c r="H18" i="4"/>
  <c r="H16" i="4"/>
  <c r="C15" i="4"/>
  <c r="C6" i="4"/>
  <c r="C41" i="7"/>
  <c r="C38" i="7"/>
  <c r="C36" i="7"/>
  <c r="C28" i="7"/>
  <c r="C17" i="7"/>
  <c r="C15" i="7"/>
  <c r="C12" i="7"/>
  <c r="C8" i="7"/>
  <c r="C4" i="7"/>
  <c r="E27" i="5"/>
  <c r="E15" i="3"/>
  <c r="F27" i="5"/>
  <c r="F15" i="3"/>
  <c r="G27" i="5"/>
  <c r="G15" i="3"/>
  <c r="H27" i="5"/>
  <c r="H15" i="3"/>
  <c r="I27" i="5"/>
  <c r="I15" i="3"/>
  <c r="D27" i="5"/>
  <c r="D15" i="3"/>
  <c r="E25" i="5"/>
  <c r="E13" i="3"/>
  <c r="E22" i="5"/>
  <c r="F22" i="5"/>
  <c r="G22" i="5"/>
  <c r="H22" i="5"/>
  <c r="I22" i="5"/>
  <c r="E19" i="5"/>
  <c r="F19" i="5"/>
  <c r="G19" i="5"/>
  <c r="H19" i="5"/>
  <c r="I19" i="5"/>
  <c r="D19" i="5"/>
  <c r="E18" i="5"/>
  <c r="F18" i="5"/>
  <c r="G18" i="5"/>
  <c r="H18" i="5"/>
  <c r="I18" i="5"/>
  <c r="D18" i="5"/>
  <c r="E17" i="5"/>
  <c r="F17" i="5"/>
  <c r="G17" i="5"/>
  <c r="H17" i="5"/>
  <c r="I17" i="5"/>
  <c r="D17" i="5"/>
  <c r="E16" i="5"/>
  <c r="F16" i="5"/>
  <c r="G16" i="5"/>
  <c r="H16" i="5"/>
  <c r="I16" i="5"/>
  <c r="D16" i="5"/>
  <c r="D15" i="5"/>
  <c r="D14" i="5"/>
  <c r="D13" i="5"/>
  <c r="D12" i="5"/>
  <c r="D11" i="5"/>
  <c r="J10" i="5"/>
  <c r="D10" i="5"/>
  <c r="J9" i="5"/>
  <c r="D9" i="5"/>
  <c r="J8" i="5"/>
  <c r="D8" i="5"/>
  <c r="J21" i="5"/>
  <c r="D21" i="5"/>
  <c r="J20" i="5"/>
  <c r="D20" i="5"/>
  <c r="E18" i="2"/>
  <c r="E19" i="2"/>
  <c r="E20" i="2"/>
  <c r="E21" i="2"/>
  <c r="E24" i="2"/>
  <c r="F18" i="2"/>
  <c r="F19" i="2"/>
  <c r="F20" i="2"/>
  <c r="F21" i="2"/>
  <c r="F24" i="2"/>
  <c r="G18" i="2"/>
  <c r="G19" i="2"/>
  <c r="G20" i="2"/>
  <c r="G21" i="2"/>
  <c r="G24" i="2"/>
  <c r="H18" i="2"/>
  <c r="H19" i="2"/>
  <c r="H20" i="2"/>
  <c r="H21" i="2"/>
  <c r="H24" i="2"/>
  <c r="I18" i="2"/>
  <c r="I19" i="2"/>
  <c r="I20" i="2"/>
  <c r="I21" i="2"/>
  <c r="I24" i="2"/>
  <c r="D10" i="2"/>
  <c r="D9" i="2"/>
  <c r="D8" i="2"/>
  <c r="D9" i="3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K6" i="6"/>
  <c r="L6" i="6"/>
  <c r="K8" i="6"/>
  <c r="L8" i="6"/>
  <c r="K10" i="6"/>
  <c r="L10" i="6"/>
  <c r="K4" i="6"/>
  <c r="L4" i="6"/>
  <c r="J8" i="6"/>
  <c r="J10" i="6"/>
  <c r="J6" i="6"/>
  <c r="J4" i="6"/>
  <c r="D13" i="6"/>
  <c r="D25" i="6"/>
  <c r="F12" i="6"/>
  <c r="K12" i="6"/>
  <c r="L12" i="6"/>
  <c r="E12" i="6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9" i="2"/>
  <c r="K39" i="2"/>
  <c r="K38" i="2"/>
  <c r="K37" i="2"/>
  <c r="K36" i="2"/>
  <c r="K35" i="2"/>
  <c r="K34" i="2"/>
  <c r="K29" i="2"/>
  <c r="K30" i="2"/>
  <c r="K31" i="2"/>
  <c r="K32" i="2"/>
  <c r="K33" i="2"/>
  <c r="K27" i="2"/>
  <c r="K28" i="2"/>
  <c r="K26" i="2"/>
  <c r="D6" i="2"/>
  <c r="E6" i="2"/>
  <c r="F6" i="2"/>
  <c r="G6" i="2"/>
  <c r="H6" i="2"/>
  <c r="I6" i="2"/>
  <c r="C6" i="2"/>
  <c r="D5" i="2"/>
  <c r="D4" i="2"/>
  <c r="E5" i="2"/>
  <c r="E4" i="2"/>
  <c r="F5" i="2"/>
  <c r="F4" i="2"/>
  <c r="G5" i="2"/>
  <c r="G4" i="2"/>
  <c r="H5" i="2"/>
  <c r="H4" i="2"/>
  <c r="I5" i="2"/>
  <c r="I4" i="2"/>
  <c r="C5" i="2"/>
  <c r="C4" i="2"/>
  <c r="E53" i="1"/>
  <c r="F53" i="1"/>
  <c r="G53" i="1"/>
  <c r="H53" i="1"/>
  <c r="I53" i="1"/>
  <c r="J53" i="1"/>
  <c r="D53" i="1"/>
  <c r="E47" i="1"/>
  <c r="F47" i="1"/>
  <c r="G47" i="1"/>
  <c r="H47" i="1"/>
  <c r="I47" i="1"/>
  <c r="J47" i="1"/>
  <c r="D47" i="1"/>
  <c r="E40" i="1"/>
  <c r="F40" i="1"/>
  <c r="G40" i="1"/>
  <c r="H40" i="1"/>
  <c r="I40" i="1"/>
  <c r="J40" i="1"/>
  <c r="D40" i="1"/>
  <c r="E35" i="1"/>
  <c r="F35" i="1"/>
  <c r="G35" i="1"/>
  <c r="H35" i="1"/>
  <c r="I35" i="1"/>
  <c r="J35" i="1"/>
  <c r="D35" i="1"/>
  <c r="E24" i="1"/>
  <c r="D24" i="1"/>
  <c r="F26" i="1"/>
  <c r="F25" i="1"/>
  <c r="G25" i="1"/>
  <c r="F18" i="1"/>
  <c r="G18" i="1"/>
  <c r="H18" i="1"/>
  <c r="I18" i="1"/>
  <c r="J18" i="1"/>
  <c r="E18" i="1"/>
  <c r="D18" i="1"/>
  <c r="E11" i="1"/>
  <c r="D11" i="1"/>
  <c r="F13" i="1"/>
  <c r="F14" i="1"/>
  <c r="F15" i="1"/>
  <c r="F16" i="1"/>
  <c r="F12" i="1"/>
  <c r="F9" i="1"/>
  <c r="F8" i="1"/>
  <c r="F7" i="1"/>
  <c r="E6" i="1"/>
  <c r="D6" i="1"/>
  <c r="D22" i="5"/>
  <c r="I5" i="5"/>
  <c r="I8" i="3"/>
  <c r="H5" i="5"/>
  <c r="H8" i="3"/>
  <c r="G5" i="5"/>
  <c r="G8" i="3"/>
  <c r="F5" i="5"/>
  <c r="F8" i="3"/>
  <c r="E5" i="5"/>
  <c r="E8" i="3"/>
  <c r="E8" i="5"/>
  <c r="E10" i="2"/>
  <c r="E9" i="5"/>
  <c r="E11" i="2"/>
  <c r="E10" i="5"/>
  <c r="E12" i="2"/>
  <c r="E11" i="5"/>
  <c r="E13" i="2"/>
  <c r="E15" i="5"/>
  <c r="E17" i="2"/>
  <c r="E14" i="5"/>
  <c r="E16" i="2"/>
  <c r="E13" i="5"/>
  <c r="E15" i="2"/>
  <c r="E12" i="5"/>
  <c r="E14" i="2"/>
  <c r="E20" i="5"/>
  <c r="E22" i="2"/>
  <c r="E21" i="5"/>
  <c r="E23" i="2"/>
  <c r="E26" i="2"/>
  <c r="F26" i="2"/>
  <c r="G26" i="2"/>
  <c r="H26" i="2"/>
  <c r="I26" i="2"/>
  <c r="D26" i="2"/>
  <c r="C26" i="2"/>
  <c r="E28" i="2"/>
  <c r="F28" i="2"/>
  <c r="G28" i="2"/>
  <c r="H28" i="2"/>
  <c r="I28" i="2"/>
  <c r="D28" i="2"/>
  <c r="C28" i="2"/>
  <c r="E27" i="2"/>
  <c r="F27" i="2"/>
  <c r="G27" i="2"/>
  <c r="H27" i="2"/>
  <c r="I27" i="2"/>
  <c r="D27" i="2"/>
  <c r="C27" i="2"/>
  <c r="E33" i="2"/>
  <c r="F33" i="2"/>
  <c r="G33" i="2"/>
  <c r="H33" i="2"/>
  <c r="I33" i="2"/>
  <c r="D33" i="2"/>
  <c r="C33" i="2"/>
  <c r="E32" i="2"/>
  <c r="F32" i="2"/>
  <c r="G32" i="2"/>
  <c r="H32" i="2"/>
  <c r="I32" i="2"/>
  <c r="D32" i="2"/>
  <c r="C32" i="2"/>
  <c r="E31" i="2"/>
  <c r="F31" i="2"/>
  <c r="G31" i="2"/>
  <c r="H31" i="2"/>
  <c r="I31" i="2"/>
  <c r="D31" i="2"/>
  <c r="C31" i="2"/>
  <c r="E30" i="2"/>
  <c r="F30" i="2"/>
  <c r="G30" i="2"/>
  <c r="H30" i="2"/>
  <c r="I30" i="2"/>
  <c r="D30" i="2"/>
  <c r="C30" i="2"/>
  <c r="E29" i="2"/>
  <c r="F29" i="2"/>
  <c r="G29" i="2"/>
  <c r="H29" i="2"/>
  <c r="I29" i="2"/>
  <c r="D29" i="2"/>
  <c r="C29" i="2"/>
  <c r="E34" i="2"/>
  <c r="F34" i="2"/>
  <c r="G34" i="2"/>
  <c r="H34" i="2"/>
  <c r="I34" i="2"/>
  <c r="D34" i="2"/>
  <c r="C34" i="2"/>
  <c r="E35" i="2"/>
  <c r="F35" i="2"/>
  <c r="G35" i="2"/>
  <c r="H35" i="2"/>
  <c r="I35" i="2"/>
  <c r="D35" i="2"/>
  <c r="E36" i="2"/>
  <c r="F36" i="2"/>
  <c r="G36" i="2"/>
  <c r="H36" i="2"/>
  <c r="I36" i="2"/>
  <c r="D36" i="2"/>
  <c r="E37" i="2"/>
  <c r="F37" i="2"/>
  <c r="G37" i="2"/>
  <c r="H37" i="2"/>
  <c r="I37" i="2"/>
  <c r="D37" i="2"/>
  <c r="E38" i="2"/>
  <c r="F38" i="2"/>
  <c r="G38" i="2"/>
  <c r="H38" i="2"/>
  <c r="I38" i="2"/>
  <c r="D38" i="2"/>
  <c r="E39" i="2"/>
  <c r="F39" i="2"/>
  <c r="G39" i="2"/>
  <c r="H39" i="2"/>
  <c r="I39" i="2"/>
  <c r="D39" i="2"/>
  <c r="G7" i="1"/>
  <c r="G8" i="1"/>
  <c r="G9" i="1"/>
  <c r="F6" i="1"/>
  <c r="G12" i="1"/>
  <c r="G13" i="1"/>
  <c r="G14" i="1"/>
  <c r="G15" i="1"/>
  <c r="G16" i="1"/>
  <c r="F11" i="1"/>
  <c r="G26" i="1"/>
  <c r="F24" i="1"/>
  <c r="C39" i="2"/>
  <c r="C38" i="2"/>
  <c r="C37" i="2"/>
  <c r="C36" i="2"/>
  <c r="C35" i="2"/>
  <c r="D7" i="5"/>
  <c r="D6" i="5"/>
  <c r="D12" i="3"/>
  <c r="J12" i="6"/>
  <c r="F25" i="5"/>
  <c r="C7" i="4"/>
  <c r="C16" i="4"/>
  <c r="C17" i="4"/>
  <c r="D17" i="4"/>
  <c r="E17" i="4"/>
  <c r="F17" i="4"/>
  <c r="G17" i="4"/>
  <c r="H17" i="4"/>
  <c r="C20" i="4"/>
  <c r="C8" i="4"/>
  <c r="F13" i="3"/>
  <c r="G25" i="5"/>
  <c r="F21" i="5"/>
  <c r="F23" i="2"/>
  <c r="H26" i="1"/>
  <c r="F15" i="5"/>
  <c r="F17" i="2"/>
  <c r="H16" i="1"/>
  <c r="F14" i="5"/>
  <c r="F16" i="2"/>
  <c r="H15" i="1"/>
  <c r="F13" i="5"/>
  <c r="F15" i="2"/>
  <c r="H14" i="1"/>
  <c r="F12" i="5"/>
  <c r="F14" i="2"/>
  <c r="H13" i="1"/>
  <c r="F11" i="5"/>
  <c r="F13" i="2"/>
  <c r="G11" i="1"/>
  <c r="H12" i="1"/>
  <c r="F10" i="5"/>
  <c r="F12" i="2"/>
  <c r="H9" i="1"/>
  <c r="F9" i="5"/>
  <c r="F11" i="2"/>
  <c r="H8" i="1"/>
  <c r="F8" i="5"/>
  <c r="F10" i="2"/>
  <c r="G6" i="1"/>
  <c r="H7" i="1"/>
  <c r="E11" i="3"/>
  <c r="F11" i="3"/>
  <c r="G11" i="3"/>
  <c r="H11" i="3"/>
  <c r="I11" i="3"/>
  <c r="C18" i="4"/>
  <c r="C10" i="4"/>
  <c r="C25" i="2"/>
  <c r="C8" i="2"/>
  <c r="C42" i="2"/>
  <c r="D25" i="2"/>
  <c r="I25" i="2"/>
  <c r="H25" i="2"/>
  <c r="G25" i="2"/>
  <c r="F25" i="2"/>
  <c r="E25" i="2"/>
  <c r="E9" i="2"/>
  <c r="E8" i="2"/>
  <c r="E7" i="5"/>
  <c r="E6" i="5"/>
  <c r="E12" i="3"/>
  <c r="H10" i="9"/>
  <c r="E9" i="3"/>
  <c r="E7" i="3"/>
  <c r="E42" i="2"/>
  <c r="C23" i="4"/>
  <c r="D9" i="7"/>
  <c r="D8" i="7"/>
  <c r="D6" i="4"/>
  <c r="E22" i="7"/>
  <c r="H6" i="9"/>
  <c r="E16" i="7"/>
  <c r="G8" i="5"/>
  <c r="G10" i="2"/>
  <c r="H6" i="1"/>
  <c r="I7" i="1"/>
  <c r="G9" i="5"/>
  <c r="G11" i="2"/>
  <c r="I8" i="1"/>
  <c r="G10" i="5"/>
  <c r="G12" i="2"/>
  <c r="I9" i="1"/>
  <c r="G11" i="5"/>
  <c r="G13" i="2"/>
  <c r="H11" i="1"/>
  <c r="I12" i="1"/>
  <c r="G12" i="5"/>
  <c r="G14" i="2"/>
  <c r="I13" i="1"/>
  <c r="G13" i="5"/>
  <c r="G15" i="2"/>
  <c r="I14" i="1"/>
  <c r="G14" i="5"/>
  <c r="G16" i="2"/>
  <c r="I15" i="1"/>
  <c r="G15" i="5"/>
  <c r="G17" i="2"/>
  <c r="I16" i="1"/>
  <c r="G21" i="5"/>
  <c r="G23" i="2"/>
  <c r="I26" i="1"/>
  <c r="G13" i="3"/>
  <c r="H25" i="5"/>
  <c r="D22" i="15"/>
  <c r="C9" i="4"/>
  <c r="D14" i="3"/>
  <c r="D8" i="15"/>
  <c r="D26" i="5"/>
  <c r="H13" i="3"/>
  <c r="I25" i="5"/>
  <c r="I13" i="3"/>
  <c r="H21" i="5"/>
  <c r="H23" i="2"/>
  <c r="J26" i="1"/>
  <c r="H15" i="5"/>
  <c r="H17" i="2"/>
  <c r="J16" i="1"/>
  <c r="H14" i="5"/>
  <c r="H16" i="2"/>
  <c r="J15" i="1"/>
  <c r="H13" i="5"/>
  <c r="H15" i="2"/>
  <c r="J14" i="1"/>
  <c r="H12" i="5"/>
  <c r="H14" i="2"/>
  <c r="J13" i="1"/>
  <c r="H11" i="5"/>
  <c r="H13" i="2"/>
  <c r="I11" i="1"/>
  <c r="J12" i="1"/>
  <c r="H10" i="5"/>
  <c r="H12" i="2"/>
  <c r="J9" i="1"/>
  <c r="H9" i="5"/>
  <c r="H11" i="2"/>
  <c r="J8" i="1"/>
  <c r="H8" i="5"/>
  <c r="H10" i="2"/>
  <c r="I6" i="1"/>
  <c r="J7" i="1"/>
  <c r="D7" i="4"/>
  <c r="H8" i="9"/>
  <c r="E18" i="7"/>
  <c r="D20" i="4"/>
  <c r="D8" i="4"/>
  <c r="I8" i="5"/>
  <c r="I10" i="2"/>
  <c r="J6" i="1"/>
  <c r="I9" i="5"/>
  <c r="I11" i="2"/>
  <c r="I10" i="5"/>
  <c r="I12" i="2"/>
  <c r="I11" i="5"/>
  <c r="I13" i="2"/>
  <c r="J11" i="1"/>
  <c r="I12" i="5"/>
  <c r="I14" i="2"/>
  <c r="I13" i="5"/>
  <c r="I15" i="2"/>
  <c r="I14" i="5"/>
  <c r="I16" i="2"/>
  <c r="I15" i="5"/>
  <c r="I17" i="2"/>
  <c r="I21" i="5"/>
  <c r="I23" i="2"/>
  <c r="D10" i="4"/>
  <c r="D23" i="4"/>
  <c r="E9" i="7"/>
  <c r="E8" i="7"/>
  <c r="E22" i="15"/>
  <c r="D9" i="4"/>
  <c r="E14" i="3"/>
  <c r="E26" i="5"/>
  <c r="E30" i="5"/>
  <c r="E8" i="15"/>
  <c r="E10" i="3"/>
  <c r="H12" i="9"/>
  <c r="E43" i="7"/>
  <c r="H14" i="9"/>
  <c r="E44" i="7"/>
  <c r="H16" i="9"/>
  <c r="E45" i="7"/>
  <c r="E16" i="3"/>
  <c r="E7" i="15"/>
  <c r="E41" i="7"/>
  <c r="E36" i="7"/>
  <c r="L13" i="6"/>
  <c r="C25" i="6"/>
  <c r="C27" i="6"/>
  <c r="C31" i="6"/>
  <c r="D17" i="3"/>
  <c r="D32" i="15"/>
  <c r="C24" i="7"/>
  <c r="C48" i="7"/>
  <c r="G12" i="7"/>
  <c r="H23" i="15"/>
  <c r="E12" i="7"/>
  <c r="E4" i="7"/>
  <c r="F23" i="15"/>
  <c r="E6" i="4"/>
  <c r="H25" i="1"/>
  <c r="F22" i="2"/>
  <c r="F9" i="2"/>
  <c r="F8" i="2"/>
  <c r="G24" i="1"/>
  <c r="F20" i="5"/>
  <c r="F7" i="5"/>
  <c r="F6" i="5"/>
  <c r="D8" i="3"/>
  <c r="D7" i="3"/>
  <c r="D5" i="5"/>
  <c r="D42" i="2"/>
  <c r="D27" i="6"/>
  <c r="D31" i="6"/>
  <c r="E17" i="3"/>
  <c r="E32" i="15"/>
  <c r="E35" i="15"/>
  <c r="E25" i="6"/>
  <c r="D23" i="15"/>
  <c r="D26" i="15"/>
  <c r="D12" i="7"/>
  <c r="D4" i="7"/>
  <c r="E23" i="15"/>
  <c r="E26" i="15"/>
  <c r="I23" i="15"/>
  <c r="H12" i="7"/>
  <c r="G23" i="15"/>
  <c r="F12" i="7"/>
  <c r="D35" i="15"/>
  <c r="D11" i="3"/>
  <c r="D30" i="5"/>
  <c r="F12" i="3"/>
  <c r="F9" i="3"/>
  <c r="F7" i="3"/>
  <c r="F42" i="2"/>
  <c r="C50" i="7"/>
  <c r="F25" i="6"/>
  <c r="E27" i="6"/>
  <c r="E31" i="6"/>
  <c r="F17" i="3"/>
  <c r="F32" i="15"/>
  <c r="F35" i="15"/>
  <c r="G8" i="9"/>
  <c r="D18" i="7"/>
  <c r="G22" i="2"/>
  <c r="G9" i="2"/>
  <c r="G8" i="2"/>
  <c r="I25" i="1"/>
  <c r="G20" i="5"/>
  <c r="G7" i="5"/>
  <c r="G6" i="5"/>
  <c r="H24" i="1"/>
  <c r="E7" i="4"/>
  <c r="E21" i="3"/>
  <c r="E22" i="3"/>
  <c r="E9" i="15"/>
  <c r="E8" i="4"/>
  <c r="E20" i="4"/>
  <c r="G12" i="3"/>
  <c r="G9" i="3"/>
  <c r="G7" i="3"/>
  <c r="G42" i="2"/>
  <c r="E11" i="15"/>
  <c r="D11" i="15"/>
  <c r="G25" i="6"/>
  <c r="F27" i="6"/>
  <c r="F31" i="6"/>
  <c r="G17" i="3"/>
  <c r="G32" i="15"/>
  <c r="G35" i="15"/>
  <c r="E10" i="4"/>
  <c r="J25" i="1"/>
  <c r="H22" i="2"/>
  <c r="H9" i="2"/>
  <c r="H8" i="2"/>
  <c r="H20" i="5"/>
  <c r="H7" i="5"/>
  <c r="H6" i="5"/>
  <c r="I24" i="1"/>
  <c r="I8" i="9"/>
  <c r="F18" i="7"/>
  <c r="I10" i="9"/>
  <c r="F22" i="7"/>
  <c r="I6" i="9"/>
  <c r="F16" i="7"/>
  <c r="D10" i="3"/>
  <c r="G10" i="9"/>
  <c r="D22" i="7"/>
  <c r="G6" i="9"/>
  <c r="D16" i="7"/>
  <c r="D12" i="15"/>
  <c r="E12" i="15"/>
  <c r="D10" i="15"/>
  <c r="E10" i="15"/>
  <c r="G16" i="9"/>
  <c r="D45" i="7"/>
  <c r="G12" i="9"/>
  <c r="D43" i="7"/>
  <c r="G14" i="9"/>
  <c r="D44" i="7"/>
  <c r="D16" i="3"/>
  <c r="F10" i="15"/>
  <c r="H9" i="3"/>
  <c r="H7" i="3"/>
  <c r="H42" i="2"/>
  <c r="E23" i="4"/>
  <c r="F9" i="7"/>
  <c r="F8" i="7"/>
  <c r="F4" i="7"/>
  <c r="F6" i="4"/>
  <c r="H25" i="6"/>
  <c r="H27" i="6"/>
  <c r="H31" i="6"/>
  <c r="I17" i="3"/>
  <c r="I32" i="15"/>
  <c r="I35" i="15"/>
  <c r="G27" i="6"/>
  <c r="G31" i="6"/>
  <c r="H17" i="3"/>
  <c r="H32" i="15"/>
  <c r="H35" i="15"/>
  <c r="F14" i="3"/>
  <c r="F26" i="5"/>
  <c r="F30" i="5"/>
  <c r="E23" i="3"/>
  <c r="F12" i="15"/>
  <c r="F11" i="15"/>
  <c r="H12" i="3"/>
  <c r="I22" i="2"/>
  <c r="I9" i="2"/>
  <c r="I8" i="2"/>
  <c r="I20" i="5"/>
  <c r="I7" i="5"/>
  <c r="I6" i="5"/>
  <c r="J24" i="1"/>
  <c r="J8" i="9"/>
  <c r="G18" i="7"/>
  <c r="J10" i="9"/>
  <c r="G22" i="7"/>
  <c r="J6" i="9"/>
  <c r="G16" i="7"/>
  <c r="F22" i="15"/>
  <c r="F26" i="15"/>
  <c r="E9" i="4"/>
  <c r="I12" i="3"/>
  <c r="G12" i="15"/>
  <c r="F7" i="4"/>
  <c r="D14" i="15"/>
  <c r="E14" i="15"/>
  <c r="D15" i="15"/>
  <c r="E15" i="15"/>
  <c r="I9" i="3"/>
  <c r="I7" i="3"/>
  <c r="I42" i="2"/>
  <c r="K10" i="9"/>
  <c r="H22" i="7"/>
  <c r="K6" i="9"/>
  <c r="H16" i="7"/>
  <c r="H10" i="15"/>
  <c r="G11" i="15"/>
  <c r="F8" i="15"/>
  <c r="F10" i="3"/>
  <c r="K8" i="9"/>
  <c r="H18" i="7"/>
  <c r="G10" i="15"/>
  <c r="D21" i="3"/>
  <c r="D7" i="15"/>
  <c r="D41" i="7"/>
  <c r="D36" i="7"/>
  <c r="D13" i="15"/>
  <c r="E13" i="15"/>
  <c r="E18" i="15"/>
  <c r="E37" i="15"/>
  <c r="D22" i="3"/>
  <c r="D9" i="15"/>
  <c r="L8" i="9"/>
  <c r="I18" i="7"/>
  <c r="F20" i="4"/>
  <c r="F8" i="4"/>
  <c r="H12" i="15"/>
  <c r="D18" i="15"/>
  <c r="D37" i="15"/>
  <c r="I11" i="15"/>
  <c r="I12" i="9"/>
  <c r="F43" i="7"/>
  <c r="I14" i="9"/>
  <c r="F44" i="7"/>
  <c r="F14" i="15"/>
  <c r="I16" i="9"/>
  <c r="F45" i="7"/>
  <c r="F15" i="15"/>
  <c r="F16" i="3"/>
  <c r="L10" i="9"/>
  <c r="I22" i="7"/>
  <c r="I12" i="15"/>
  <c r="L6" i="9"/>
  <c r="I16" i="7"/>
  <c r="I10" i="15"/>
  <c r="H11" i="15"/>
  <c r="F41" i="7"/>
  <c r="F36" i="7"/>
  <c r="F13" i="15"/>
  <c r="G14" i="3"/>
  <c r="G26" i="5"/>
  <c r="G30" i="5"/>
  <c r="D23" i="3"/>
  <c r="D33" i="7"/>
  <c r="F21" i="3"/>
  <c r="F7" i="15"/>
  <c r="D40" i="15"/>
  <c r="G22" i="15"/>
  <c r="G26" i="15"/>
  <c r="F9" i="4"/>
  <c r="F10" i="4"/>
  <c r="F22" i="3"/>
  <c r="F9" i="15"/>
  <c r="F23" i="3"/>
  <c r="D28" i="7"/>
  <c r="D48" i="7"/>
  <c r="E33" i="7"/>
  <c r="F23" i="4"/>
  <c r="G9" i="7"/>
  <c r="G8" i="7"/>
  <c r="G4" i="7"/>
  <c r="G6" i="4"/>
  <c r="D21" i="7"/>
  <c r="D17" i="7"/>
  <c r="D15" i="7"/>
  <c r="D24" i="7"/>
  <c r="D50" i="7"/>
  <c r="E39" i="15"/>
  <c r="E40" i="15"/>
  <c r="F18" i="15"/>
  <c r="F37" i="15"/>
  <c r="G8" i="15"/>
  <c r="G10" i="3"/>
  <c r="J12" i="9"/>
  <c r="G43" i="7"/>
  <c r="J14" i="9"/>
  <c r="G44" i="7"/>
  <c r="G14" i="15"/>
  <c r="J16" i="9"/>
  <c r="G45" i="7"/>
  <c r="G15" i="15"/>
  <c r="G16" i="3"/>
  <c r="E21" i="7"/>
  <c r="E17" i="7"/>
  <c r="E15" i="7"/>
  <c r="E24" i="7"/>
  <c r="F39" i="15"/>
  <c r="F40" i="15"/>
  <c r="G7" i="4"/>
  <c r="F33" i="7"/>
  <c r="E28" i="7"/>
  <c r="E48" i="7"/>
  <c r="F28" i="7"/>
  <c r="F48" i="7"/>
  <c r="G20" i="4"/>
  <c r="G8" i="4"/>
  <c r="G21" i="3"/>
  <c r="G7" i="15"/>
  <c r="G39" i="15"/>
  <c r="F21" i="7"/>
  <c r="F17" i="7"/>
  <c r="F15" i="7"/>
  <c r="F24" i="7"/>
  <c r="F50" i="7"/>
  <c r="E50" i="7"/>
  <c r="G41" i="7"/>
  <c r="G36" i="7"/>
  <c r="G13" i="15"/>
  <c r="G22" i="3"/>
  <c r="G9" i="15"/>
  <c r="H22" i="15"/>
  <c r="H26" i="15"/>
  <c r="G9" i="4"/>
  <c r="G10" i="4"/>
  <c r="G18" i="15"/>
  <c r="G37" i="15"/>
  <c r="H14" i="3"/>
  <c r="H26" i="5"/>
  <c r="H30" i="5"/>
  <c r="G40" i="15"/>
  <c r="G23" i="3"/>
  <c r="G33" i="7"/>
  <c r="H8" i="15"/>
  <c r="H10" i="3"/>
  <c r="G23" i="4"/>
  <c r="H9" i="7"/>
  <c r="H8" i="7"/>
  <c r="H4" i="7"/>
  <c r="H6" i="4"/>
  <c r="H7" i="4"/>
  <c r="K12" i="9"/>
  <c r="H43" i="7"/>
  <c r="K14" i="9"/>
  <c r="H44" i="7"/>
  <c r="H14" i="15"/>
  <c r="K16" i="9"/>
  <c r="H45" i="7"/>
  <c r="H15" i="15"/>
  <c r="H16" i="3"/>
  <c r="G28" i="7"/>
  <c r="G48" i="7"/>
  <c r="H39" i="15"/>
  <c r="G21" i="7"/>
  <c r="G17" i="7"/>
  <c r="G15" i="7"/>
  <c r="G24" i="7"/>
  <c r="G50" i="7"/>
  <c r="H21" i="3"/>
  <c r="H7" i="15"/>
  <c r="H41" i="7"/>
  <c r="H36" i="7"/>
  <c r="H13" i="15"/>
  <c r="H20" i="4"/>
  <c r="H8" i="4"/>
  <c r="I14" i="3"/>
  <c r="I26" i="5"/>
  <c r="I30" i="5"/>
  <c r="H22" i="3"/>
  <c r="H9" i="15"/>
  <c r="H23" i="3"/>
  <c r="H33" i="7"/>
  <c r="I22" i="15"/>
  <c r="I26" i="15"/>
  <c r="H9" i="4"/>
  <c r="H18" i="15"/>
  <c r="H37" i="15"/>
  <c r="H10" i="4"/>
  <c r="H23" i="4"/>
  <c r="I9" i="7"/>
  <c r="I8" i="7"/>
  <c r="I4" i="7"/>
  <c r="H28" i="7"/>
  <c r="H48" i="7"/>
  <c r="H40" i="15"/>
  <c r="I8" i="15"/>
  <c r="I10" i="3"/>
  <c r="L12" i="9"/>
  <c r="I43" i="7"/>
  <c r="L14" i="9"/>
  <c r="I44" i="7"/>
  <c r="I14" i="15"/>
  <c r="L16" i="9"/>
  <c r="I45" i="7"/>
  <c r="I15" i="15"/>
  <c r="I16" i="3"/>
  <c r="I39" i="15"/>
  <c r="H21" i="7"/>
  <c r="H17" i="7"/>
  <c r="H15" i="7"/>
  <c r="H24" i="7"/>
  <c r="H50" i="7"/>
  <c r="I41" i="7"/>
  <c r="I36" i="7"/>
  <c r="I13" i="15"/>
  <c r="I21" i="3"/>
  <c r="I7" i="15"/>
  <c r="I22" i="3"/>
  <c r="I9" i="15"/>
  <c r="I18" i="15"/>
  <c r="I37" i="15"/>
  <c r="I23" i="3"/>
  <c r="I33" i="7"/>
  <c r="I28" i="7"/>
  <c r="I48" i="7"/>
  <c r="I40" i="15"/>
  <c r="I21" i="7"/>
  <c r="I17" i="7"/>
  <c r="I15" i="7"/>
  <c r="I24" i="7"/>
  <c r="I50" i="7"/>
</calcChain>
</file>

<file path=xl/comments1.xml><?xml version="1.0" encoding="utf-8"?>
<comments xmlns="http://schemas.openxmlformats.org/spreadsheetml/2006/main">
  <authors>
    <author>milosv</author>
  </authors>
  <commentList>
    <comment ref="B30" authorId="0">
      <text>
        <r>
          <rPr>
            <b/>
            <sz val="8"/>
            <color indexed="81"/>
            <rFont val="Tahoma"/>
            <family val="2"/>
          </rPr>
          <t>milosv:</t>
        </r>
        <r>
          <rPr>
            <sz val="8"/>
            <color indexed="81"/>
            <rFont val="Tahoma"/>
            <family val="2"/>
          </rPr>
          <t xml:space="preserve">
marža je 12.50%</t>
        </r>
      </text>
    </comment>
  </commentList>
</comments>
</file>

<file path=xl/comments2.xml><?xml version="1.0" encoding="utf-8"?>
<comments xmlns="http://schemas.openxmlformats.org/spreadsheetml/2006/main">
  <authors>
    <author>milosv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milosv:</t>
        </r>
        <r>
          <rPr>
            <sz val="8"/>
            <color indexed="81"/>
            <rFont val="Tahoma"/>
            <family val="2"/>
          </rPr>
          <t xml:space="preserve">
u 2007. uključena g.o. U pripremi</t>
        </r>
      </text>
    </comment>
  </commentList>
</comments>
</file>

<file path=xl/comments3.xml><?xml version="1.0" encoding="utf-8"?>
<comments xmlns="http://schemas.openxmlformats.org/spreadsheetml/2006/main">
  <authors>
    <author>milosv</author>
  </authors>
  <commentList>
    <comment ref="B9" authorId="0">
      <text>
        <r>
          <rPr>
            <b/>
            <sz val="8"/>
            <color indexed="81"/>
            <rFont val="Tahoma"/>
            <family val="2"/>
          </rPr>
          <t>milosv:</t>
        </r>
        <r>
          <rPr>
            <sz val="8"/>
            <color indexed="81"/>
            <rFont val="Tahoma"/>
            <family val="2"/>
          </rPr>
          <t xml:space="preserve">
osnovna sredstav u pripremi prebacena na gradjevinske objekte
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milosv:</t>
        </r>
        <r>
          <rPr>
            <sz val="8"/>
            <color indexed="81"/>
            <rFont val="Tahoma"/>
            <family val="2"/>
          </rPr>
          <t xml:space="preserve">
deo fiksan deo - ulaganje u zavisno, varijabilni deo - stambeni krediti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milosv:</t>
        </r>
        <r>
          <rPr>
            <sz val="8"/>
            <color indexed="81"/>
            <rFont val="Tahoma"/>
            <family val="2"/>
          </rPr>
          <t xml:space="preserve">
na bazi ugovora</t>
        </r>
      </text>
    </comment>
  </commentList>
</comments>
</file>

<file path=xl/sharedStrings.xml><?xml version="1.0" encoding="utf-8"?>
<sst xmlns="http://schemas.openxmlformats.org/spreadsheetml/2006/main" count="352" uniqueCount="274">
  <si>
    <t>1. Aditivi</t>
  </si>
  <si>
    <t>1.1. Dugo</t>
  </si>
  <si>
    <t>1.2. Turbo</t>
  </si>
  <si>
    <t>1.3. Tajfun</t>
  </si>
  <si>
    <t>2. Smeše za hleb i pecivo</t>
  </si>
  <si>
    <t>2.1. Desetka</t>
  </si>
  <si>
    <t>2.2. Dijet</t>
  </si>
  <si>
    <t>2.3. Kukuruz</t>
  </si>
  <si>
    <t>2.4. Raža</t>
  </si>
  <si>
    <t>2.5. Vodeničar</t>
  </si>
  <si>
    <t>3. Ostale smeše</t>
  </si>
  <si>
    <t>3.1. Krofne domaće</t>
  </si>
  <si>
    <t>3.2. Krofne rumene</t>
  </si>
  <si>
    <t>3.3. Goldi blans</t>
  </si>
  <si>
    <t>3.4. Palačinke</t>
  </si>
  <si>
    <t>4. Tortilje</t>
  </si>
  <si>
    <t>4.1. Tortilje 20cm</t>
  </si>
  <si>
    <t>4.2. Tortilje 25cm</t>
  </si>
  <si>
    <t>5. Vodeničarsko blago</t>
  </si>
  <si>
    <t>6. Trgovačka roba</t>
  </si>
  <si>
    <t>u din</t>
  </si>
  <si>
    <t>u evrima</t>
  </si>
  <si>
    <t>1. Prihodi od prodaje robe</t>
  </si>
  <si>
    <t>1.1. Prihodi od prodaje robe na domaćem tržištu</t>
  </si>
  <si>
    <t>1.2. Prihodi od prodaje robe na inostranom tržištu</t>
  </si>
  <si>
    <t>2. Prihodi od prodaje proizvoda</t>
  </si>
  <si>
    <t>2.1. Prihodi od prodaje proizvoda na domaćem tržištu</t>
  </si>
  <si>
    <t>2.1.1. Dugo</t>
  </si>
  <si>
    <t>2.1.2. Turbo</t>
  </si>
  <si>
    <t>2.1.3. Tajfun</t>
  </si>
  <si>
    <t>2.1.4. Desetka</t>
  </si>
  <si>
    <t>2.1.5.Dijet</t>
  </si>
  <si>
    <t>2.1.6. Kukuruz</t>
  </si>
  <si>
    <t>2.1.7. Raža</t>
  </si>
  <si>
    <t>2.1.8. Vodeničar</t>
  </si>
  <si>
    <t>2.1.9. Krofne domaće</t>
  </si>
  <si>
    <t>2.1.10. Krofne rumene</t>
  </si>
  <si>
    <t>2.1.11. Goldi blans</t>
  </si>
  <si>
    <t>2.1.12. Palačinke</t>
  </si>
  <si>
    <t>2.1.13. Tortilje 20cm</t>
  </si>
  <si>
    <t>2.1.14. Tortilje 25cm</t>
  </si>
  <si>
    <t>2.1.15. Vodeničarsko blago</t>
  </si>
  <si>
    <t>2.2. Prihodi od prodaje proizvoda na inostranom tržištu</t>
  </si>
  <si>
    <t>2.2.1. Dugo</t>
  </si>
  <si>
    <t>2.2.2. Turbo</t>
  </si>
  <si>
    <t>2.2.3. Tajfun</t>
  </si>
  <si>
    <t>2.2.4. Desetka</t>
  </si>
  <si>
    <t>2.2.5.Dijet</t>
  </si>
  <si>
    <t>2.2.6. Kukuruz</t>
  </si>
  <si>
    <t>2.2.7. Raža</t>
  </si>
  <si>
    <t>2.2.8. Vodeničar</t>
  </si>
  <si>
    <t>2.2.9. Krofne domaće</t>
  </si>
  <si>
    <t>2.2.10. Krofne rumene</t>
  </si>
  <si>
    <t>2.2.11. Goldi blans</t>
  </si>
  <si>
    <t>2.2.12. Palačinke</t>
  </si>
  <si>
    <t>2.2.13. Tortilje 20cm</t>
  </si>
  <si>
    <t>2.2.14. Tortilje 25cm</t>
  </si>
  <si>
    <t>2.2.15. Vodeničarsko blago</t>
  </si>
  <si>
    <t>UKUPNI POSLOVNI PRIHODI</t>
  </si>
  <si>
    <t>24.09.2007.</t>
  </si>
  <si>
    <t>Deponovano</t>
  </si>
  <si>
    <t>Trajanje</t>
  </si>
  <si>
    <t>Kamatna stopa</t>
  </si>
  <si>
    <t>08.10.2007.</t>
  </si>
  <si>
    <t>2 m</t>
  </si>
  <si>
    <t>24.11.2007.</t>
  </si>
  <si>
    <t>12.09.2007.</t>
  </si>
  <si>
    <t>12.11.2007.</t>
  </si>
  <si>
    <t>31.08.2007.</t>
  </si>
  <si>
    <t>23.08.2007.</t>
  </si>
  <si>
    <t>31.12.2007.</t>
  </si>
  <si>
    <t>23.10.2007.</t>
  </si>
  <si>
    <t>08.12.2007.</t>
  </si>
  <si>
    <t>12.01.2008.</t>
  </si>
  <si>
    <t>13.10.2007.</t>
  </si>
  <si>
    <t>13.12.2007.</t>
  </si>
  <si>
    <t>br dana u 2007.</t>
  </si>
  <si>
    <t>Fin. Prihodi</t>
  </si>
  <si>
    <t>Dinara</t>
  </si>
  <si>
    <t>I Poslovni prihodi</t>
  </si>
  <si>
    <t>II Poslovni rashodi</t>
  </si>
  <si>
    <t>1. Nabavna vrednost prodate robe</t>
  </si>
  <si>
    <t>I Nabavna vrednost prodate robe</t>
  </si>
  <si>
    <t>II Troškovi materijala</t>
  </si>
  <si>
    <t>1. Troškovi materijala za izradu</t>
  </si>
  <si>
    <t>2. Troškovi ostalog materijala</t>
  </si>
  <si>
    <t>3. Troškovi energije i goriva</t>
  </si>
  <si>
    <t>III Troškovi zarada</t>
  </si>
  <si>
    <t>IV Troškovi amortizacije</t>
  </si>
  <si>
    <t>V Ostali poslovni rashodi</t>
  </si>
  <si>
    <t>1. Troškovi proizvodnih usluga</t>
  </si>
  <si>
    <t>2. Troškovi neporizvodnih usluga</t>
  </si>
  <si>
    <t>AKTIVA</t>
  </si>
  <si>
    <t>A Stalna imovina</t>
  </si>
  <si>
    <t>I Neuplaćeni upisani kapital</t>
  </si>
  <si>
    <t>II Goodwill</t>
  </si>
  <si>
    <t>III Nematerijalna iulaganja</t>
  </si>
  <si>
    <t>IV Nekretnine, postrojenja, oprema i biološka sredstva</t>
  </si>
  <si>
    <t>V Dugoročni finansijski plasmani</t>
  </si>
  <si>
    <t>1. Učešća u kapitalu</t>
  </si>
  <si>
    <t>2. Ostali dugoročni finansijski plasmani</t>
  </si>
  <si>
    <t>1. Nekretnine postrojenja i oprema</t>
  </si>
  <si>
    <t>2. Investicione nekretnine</t>
  </si>
  <si>
    <t>3. Biološka sredstva</t>
  </si>
  <si>
    <t>B. Obrtna imovina</t>
  </si>
  <si>
    <t>I Zalihe</t>
  </si>
  <si>
    <t>II Kratkoročna potraživanja plasmani i gotovina</t>
  </si>
  <si>
    <t>1. Potraživanja</t>
  </si>
  <si>
    <t>2. Potraživanja za više plaćen porez na dobitak</t>
  </si>
  <si>
    <t>3. Kratkoročni finansijski plasmani</t>
  </si>
  <si>
    <t>4. Gotovina i gotovinski ekvivalenti</t>
  </si>
  <si>
    <t>5. PDV i AVR</t>
  </si>
  <si>
    <t>III Odložena poreksa sredstva</t>
  </si>
  <si>
    <t>UKUPNA AKTIVA</t>
  </si>
  <si>
    <t>PASIVA</t>
  </si>
  <si>
    <t>A. Kapital</t>
  </si>
  <si>
    <t>I Osnovni kapital</t>
  </si>
  <si>
    <t>II Neuplaćeni upisani kapital</t>
  </si>
  <si>
    <t>III Rezerve</t>
  </si>
  <si>
    <t>IV Revalorizacione rezerve</t>
  </si>
  <si>
    <t>V Neraspoređeni dobitak</t>
  </si>
  <si>
    <t>VI Gubitak</t>
  </si>
  <si>
    <t>VII Otkupljene sopstvene akcije</t>
  </si>
  <si>
    <t>B. Dugoročna rezervisanja i obaveze</t>
  </si>
  <si>
    <t>I Dugoročna rezervisanja</t>
  </si>
  <si>
    <t>II Dugoročne obaveze</t>
  </si>
  <si>
    <t>1. Dugoročni krediti</t>
  </si>
  <si>
    <t>2. Ostale dugoročne obaveze</t>
  </si>
  <si>
    <t>III Kratkoročne obaveze</t>
  </si>
  <si>
    <t>1. Kratkoročne finansijske obaveze</t>
  </si>
  <si>
    <t>2. Obaveze iz poslovanja</t>
  </si>
  <si>
    <t>3. Ostale kratkoročne obaveze i PVR</t>
  </si>
  <si>
    <t>4. Opaveze po osnovu PDV-a i ostalih javnih prihoda</t>
  </si>
  <si>
    <t>5. Obaveze po osnovu poreza na dobitak</t>
  </si>
  <si>
    <t>IV Odložene poreske obaveze</t>
  </si>
  <si>
    <t>UKUPNA PASIVA</t>
  </si>
  <si>
    <t>Građevinski objekti</t>
  </si>
  <si>
    <t>Amortizacija</t>
  </si>
  <si>
    <t>Nove investicije</t>
  </si>
  <si>
    <t>Kumulativ novih investicija</t>
  </si>
  <si>
    <t>Vrednost na kraju perioda</t>
  </si>
  <si>
    <t>Oprema</t>
  </si>
  <si>
    <t>Vrednost na početku perioda</t>
  </si>
  <si>
    <t>Ukupna amortizacija</t>
  </si>
  <si>
    <t>2. Troškovi materijala</t>
  </si>
  <si>
    <t>3. Troškovi zarada, naknada zarada i ostali lični rashodi</t>
  </si>
  <si>
    <t>4. Troškovi amortizacije</t>
  </si>
  <si>
    <t>5. Ostali poslovni rashodi</t>
  </si>
  <si>
    <t>III Poslovni dobitak</t>
  </si>
  <si>
    <t>IV Finansijski prihodi</t>
  </si>
  <si>
    <t>V Finansisjki rashodi</t>
  </si>
  <si>
    <t>VI Ostali prihodi</t>
  </si>
  <si>
    <t>VII Ostali rashodi</t>
  </si>
  <si>
    <t>VIII Dobitak pre poreza</t>
  </si>
  <si>
    <t>IX Porez na dobit</t>
  </si>
  <si>
    <t>X Neto rezultat</t>
  </si>
  <si>
    <t>Naziv pozicije</t>
  </si>
  <si>
    <t>Dani vezivanja</t>
  </si>
  <si>
    <t>Godišnji obrt</t>
  </si>
  <si>
    <t>Stavka za koju se                    vezuje</t>
  </si>
  <si>
    <t>Zalihe</t>
  </si>
  <si>
    <t>NV prodate robe i troskovi materijala</t>
  </si>
  <si>
    <t>Potraživanja iz poslovanja</t>
  </si>
  <si>
    <t>Poslovni prihod</t>
  </si>
  <si>
    <t>PDV i AVR</t>
  </si>
  <si>
    <t>NV prodate robe, troškovi materijala i Ostali poslovni rashodi</t>
  </si>
  <si>
    <t>Obaveze iz poslovanja</t>
  </si>
  <si>
    <t>Poslovni rashodi</t>
  </si>
  <si>
    <t>Ostale kratkorocne obaveze i PVR</t>
  </si>
  <si>
    <t>Obaveze po osnovu PDV i ostalih javnih prihoda</t>
  </si>
  <si>
    <t>NPO</t>
  </si>
  <si>
    <t>u EUR</t>
  </si>
  <si>
    <t>Datum</t>
  </si>
  <si>
    <t>Dug na pocetku perioda</t>
  </si>
  <si>
    <t>Otplata</t>
  </si>
  <si>
    <t>Kamata</t>
  </si>
  <si>
    <t>Anuitet</t>
  </si>
  <si>
    <t>Ostatak duga</t>
  </si>
  <si>
    <t>15.07.2003.</t>
  </si>
  <si>
    <t>15.10.2003.</t>
  </si>
  <si>
    <t>15.01.2004.</t>
  </si>
  <si>
    <t>15.04.2004.</t>
  </si>
  <si>
    <t>15.07.2004.</t>
  </si>
  <si>
    <t>15.10.2004.</t>
  </si>
  <si>
    <t>15.01.2005.</t>
  </si>
  <si>
    <t>15.04.2005.</t>
  </si>
  <si>
    <t>15.07.2005.</t>
  </si>
  <si>
    <t>15.10.2005.</t>
  </si>
  <si>
    <t>15.01.2006.</t>
  </si>
  <si>
    <t>15.04.2006.</t>
  </si>
  <si>
    <t>15.07.2006.</t>
  </si>
  <si>
    <t>15.10.2006.</t>
  </si>
  <si>
    <t>15.01.2007.</t>
  </si>
  <si>
    <t>15.04.2007.</t>
  </si>
  <si>
    <t>15.07.2007.</t>
  </si>
  <si>
    <t>15.10.2007.</t>
  </si>
  <si>
    <t>15.01.2008.</t>
  </si>
  <si>
    <t>15.04.2008.</t>
  </si>
  <si>
    <t>Vrednost kratkorocnih finansijskih plasmana</t>
  </si>
  <si>
    <t>u dinarima</t>
  </si>
  <si>
    <t>31.03.2007.</t>
  </si>
  <si>
    <t>30.06.2007.</t>
  </si>
  <si>
    <t>30.09.2007.</t>
  </si>
  <si>
    <t>31.03.2008.</t>
  </si>
  <si>
    <t>30.06.2008.</t>
  </si>
  <si>
    <t>30.09.2008.</t>
  </si>
  <si>
    <t>31.12.2008.</t>
  </si>
  <si>
    <t>31.03.2009.</t>
  </si>
  <si>
    <t>30.06.2009.</t>
  </si>
  <si>
    <t>30.09.2009.</t>
  </si>
  <si>
    <t>31.12.2009.</t>
  </si>
  <si>
    <t>31.03.2010.</t>
  </si>
  <si>
    <t>30.06.2010.</t>
  </si>
  <si>
    <t>30.09.2010.</t>
  </si>
  <si>
    <t>31.12.2010.</t>
  </si>
  <si>
    <t>31.03.2011</t>
  </si>
  <si>
    <t>30.06.2011.</t>
  </si>
  <si>
    <t>30.09.2011.</t>
  </si>
  <si>
    <t>31.12.2011</t>
  </si>
  <si>
    <t>31.03.2012.</t>
  </si>
  <si>
    <t>30.06.2012.</t>
  </si>
  <si>
    <t>30.09.2012.</t>
  </si>
  <si>
    <t>Br</t>
  </si>
  <si>
    <t>15.04.2002.</t>
  </si>
  <si>
    <t>15.07.2002.</t>
  </si>
  <si>
    <t>15.10.2002.</t>
  </si>
  <si>
    <t>15.01.2003.</t>
  </si>
  <si>
    <t>15.04.2003.</t>
  </si>
  <si>
    <t>EUR</t>
  </si>
  <si>
    <t>Dugoročno uložena sredstva u Vodomont</t>
  </si>
  <si>
    <t>Stambeni krediti</t>
  </si>
  <si>
    <t>Kratkorocni finansijski plasmani</t>
  </si>
  <si>
    <t>Dugorocni finansijski plasmani</t>
  </si>
  <si>
    <t>FINANSIJSKI PRIHODI</t>
  </si>
  <si>
    <t>Br.</t>
  </si>
  <si>
    <t>Ugovor o srednjorocnom investicionom kreditu, Novosadska banka a.d. 15.01.2002.god</t>
  </si>
  <si>
    <t>Ugovor o investicionom kreditu br. 7780, 3126/06 od 14.12.2006. Fond za razvoj republike Srbije</t>
  </si>
  <si>
    <t>Ugovor o srednjorocnom investicionom kreditu, Novosadska banka, 07.07.2003. 523/03</t>
  </si>
  <si>
    <t>Kredit Fonda za razvoj</t>
  </si>
  <si>
    <t>Dugorocne obaveze - kredit</t>
  </si>
  <si>
    <t>Lizing</t>
  </si>
  <si>
    <t>Stanje dugorocnih obaveza</t>
  </si>
  <si>
    <t>Dugoročni finansijski plasmani</t>
  </si>
  <si>
    <t>Lizing kamate</t>
  </si>
  <si>
    <t>Finansijski rashodi</t>
  </si>
  <si>
    <t>I Novčni tok iz poslovne aktivnosti</t>
  </si>
  <si>
    <t>1. Poslovni dobitak</t>
  </si>
  <si>
    <t>2. Amortizacija</t>
  </si>
  <si>
    <t>3. Porez na dobit</t>
  </si>
  <si>
    <t>4. Smanjenje (povećanje) vrednosti zaliha</t>
  </si>
  <si>
    <t>5. Smanjenje (povećanje) vrednosti potraživanja</t>
  </si>
  <si>
    <t>6. Smanjenje (povećanje) vrednosti PDV i AVR</t>
  </si>
  <si>
    <t>7. Povećanje (smanjenje) vrednosti obaveza iz poslovanja</t>
  </si>
  <si>
    <t>8. Povećanje (smanjenje) vrednosti ostalih kratkoročnih obaveza i PVR</t>
  </si>
  <si>
    <t>9. Povećanje (smanjenje) vrednosti obaveza po osnovu PDV-a i ostalih javnih rashoda</t>
  </si>
  <si>
    <t>10. Povećanje (smanjenje) vrednosti obaveza po osnovu poreza na dobit</t>
  </si>
  <si>
    <t>Novčani tok iz poslovne aktivnosti</t>
  </si>
  <si>
    <t>II Novčani tok iz invsticione aktivnosti</t>
  </si>
  <si>
    <t>1. Smanjenje (povećanje) vrednosti nematerijalnih ulaganja</t>
  </si>
  <si>
    <t>2. Smanjenje (povećanje) vrednosti ostalih dugoročnih finansijskih plasmana</t>
  </si>
  <si>
    <t>3. Smanjenje (povećanje) vrednosti kratkoročnih finansijskih plasmana</t>
  </si>
  <si>
    <t>Novčani tok iz investicione aktivnosti</t>
  </si>
  <si>
    <t>III Novčani tok iz aktivnosti finansiranja</t>
  </si>
  <si>
    <t>1. Povećanja (smanjenje) vrednosti dugoročnih kredita</t>
  </si>
  <si>
    <t>2. Povećanje (smanjenje) vrednosti ostalih dugoročnih obaveza</t>
  </si>
  <si>
    <t>3. Povećanje (smanjenje) vrednosti kratkorošnih finansijskih obaveza</t>
  </si>
  <si>
    <t>Novčani tok iz aktivnosti finansiranja</t>
  </si>
  <si>
    <t>4. Prilivi po osnovu naplaćenih kamata</t>
  </si>
  <si>
    <t>5. Odlivi po osnovu plaćenih kamata</t>
  </si>
  <si>
    <t>NETO NOVČANI TOK</t>
  </si>
  <si>
    <t>A. Gotovina na početku perioda</t>
  </si>
  <si>
    <t>B. Gotovina na kraju perioda</t>
  </si>
  <si>
    <t>2. Smanjenje (povećanje) vrednosti osnovnih NPO</t>
  </si>
  <si>
    <t>UKUPNI POSLOVNI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</si>
</sst>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0.000%"/>
    <numFmt numFmtId="177" formatCode="0.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9"/>
      <name val="Book Antiqua"/>
      <family val="1"/>
      <charset val="238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theme="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3" fontId="3" fillId="2" borderId="1" xfId="0" applyNumberFormat="1" applyFont="1" applyFill="1" applyBorder="1"/>
    <xf numFmtId="9" fontId="3" fillId="2" borderId="0" xfId="0" applyNumberFormat="1" applyFont="1" applyFill="1"/>
    <xf numFmtId="3" fontId="3" fillId="2" borderId="0" xfId="0" applyNumberFormat="1" applyFont="1" applyFill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4" fillId="2" borderId="5" xfId="0" applyFont="1" applyFill="1" applyBorder="1"/>
    <xf numFmtId="9" fontId="3" fillId="2" borderId="6" xfId="0" applyNumberFormat="1" applyFont="1" applyFill="1" applyBorder="1"/>
    <xf numFmtId="3" fontId="3" fillId="2" borderId="0" xfId="0" applyNumberFormat="1" applyFont="1" applyFill="1" applyBorder="1"/>
    <xf numFmtId="3" fontId="3" fillId="2" borderId="6" xfId="0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3" fontId="4" fillId="2" borderId="1" xfId="0" applyNumberFormat="1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/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Alignment="1">
      <alignment horizontal="center"/>
    </xf>
    <xf numFmtId="175" fontId="3" fillId="2" borderId="0" xfId="1" applyNumberFormat="1" applyFont="1" applyFill="1"/>
    <xf numFmtId="3" fontId="3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3" fillId="2" borderId="10" xfId="0" applyNumberFormat="1" applyFont="1" applyFill="1" applyBorder="1"/>
    <xf numFmtId="0" fontId="3" fillId="2" borderId="9" xfId="0" applyFont="1" applyFill="1" applyBorder="1"/>
    <xf numFmtId="3" fontId="3" fillId="2" borderId="9" xfId="0" applyNumberFormat="1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/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wrapText="1"/>
    </xf>
    <xf numFmtId="3" fontId="3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177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1" fontId="4" fillId="2" borderId="1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8" fillId="2" borderId="0" xfId="0" applyFont="1" applyFill="1"/>
    <xf numFmtId="3" fontId="8" fillId="2" borderId="0" xfId="0" applyNumberFormat="1" applyFont="1" applyFill="1"/>
    <xf numFmtId="0" fontId="9" fillId="2" borderId="0" xfId="0" applyFont="1" applyFill="1"/>
    <xf numFmtId="0" fontId="8" fillId="2" borderId="10" xfId="0" applyFont="1" applyFill="1" applyBorder="1"/>
    <xf numFmtId="3" fontId="8" fillId="2" borderId="10" xfId="0" applyNumberFormat="1" applyFont="1" applyFill="1" applyBorder="1"/>
    <xf numFmtId="0" fontId="8" fillId="2" borderId="0" xfId="0" applyFont="1" applyFill="1" applyAlignment="1">
      <alignment horizontal="left"/>
    </xf>
    <xf numFmtId="0" fontId="9" fillId="2" borderId="9" xfId="0" applyFont="1" applyFill="1" applyBorder="1"/>
    <xf numFmtId="3" fontId="9" fillId="2" borderId="9" xfId="0" applyNumberFormat="1" applyFont="1" applyFill="1" applyBorder="1"/>
    <xf numFmtId="0" fontId="3" fillId="2" borderId="0" xfId="0" applyFont="1" applyFill="1" applyAlignment="1">
      <alignment horizontal="center"/>
    </xf>
    <xf numFmtId="0" fontId="10" fillId="2" borderId="3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4:M60"/>
  <sheetViews>
    <sheetView workbookViewId="0">
      <selection activeCell="D4" sqref="D4:J4"/>
    </sheetView>
  </sheetViews>
  <sheetFormatPr defaultRowHeight="13.5" x14ac:dyDescent="0.25"/>
  <cols>
    <col min="1" max="1" width="9.140625" style="1"/>
    <col min="2" max="2" width="24.7109375" style="1" bestFit="1" customWidth="1"/>
    <col min="3" max="16384" width="9.140625" style="1"/>
  </cols>
  <sheetData>
    <row r="4" spans="2:13" ht="15" x14ac:dyDescent="0.3">
      <c r="B4" s="6"/>
      <c r="C4" s="7"/>
      <c r="D4" s="8">
        <v>2014</v>
      </c>
      <c r="E4" s="8">
        <f>+D4+1</f>
        <v>2015</v>
      </c>
      <c r="F4" s="8">
        <f t="shared" ref="F4:J4" si="0">+E4+1</f>
        <v>2016</v>
      </c>
      <c r="G4" s="8">
        <f t="shared" si="0"/>
        <v>2017</v>
      </c>
      <c r="H4" s="8">
        <f t="shared" si="0"/>
        <v>2018</v>
      </c>
      <c r="I4" s="8">
        <f t="shared" si="0"/>
        <v>2019</v>
      </c>
      <c r="J4" s="8">
        <f t="shared" si="0"/>
        <v>2020</v>
      </c>
      <c r="K4" s="9"/>
    </row>
    <row r="5" spans="2:13" x14ac:dyDescent="0.25">
      <c r="B5" s="10"/>
      <c r="C5" s="11"/>
      <c r="D5" s="11"/>
      <c r="E5" s="11"/>
      <c r="F5" s="11"/>
      <c r="G5" s="11"/>
      <c r="H5" s="11"/>
      <c r="I5" s="11"/>
      <c r="J5" s="11"/>
      <c r="K5" s="12"/>
    </row>
    <row r="6" spans="2:13" ht="15" x14ac:dyDescent="0.3">
      <c r="B6" s="13" t="s">
        <v>0</v>
      </c>
      <c r="C6" s="11"/>
      <c r="D6" s="3">
        <f t="shared" ref="D6:J6" si="1">SUM(D7:D9)</f>
        <v>767460</v>
      </c>
      <c r="E6" s="3">
        <f t="shared" si="1"/>
        <v>782810</v>
      </c>
      <c r="F6" s="3">
        <f t="shared" si="1"/>
        <v>798466.2</v>
      </c>
      <c r="G6" s="3">
        <f t="shared" si="1"/>
        <v>814435.52400000009</v>
      </c>
      <c r="H6" s="3">
        <f t="shared" si="1"/>
        <v>830724.2344800001</v>
      </c>
      <c r="I6" s="3">
        <f t="shared" si="1"/>
        <v>847338.71916960017</v>
      </c>
      <c r="J6" s="3">
        <f t="shared" si="1"/>
        <v>864285.49355299212</v>
      </c>
      <c r="K6" s="14">
        <v>0.02</v>
      </c>
    </row>
    <row r="7" spans="2:13" x14ac:dyDescent="0.25">
      <c r="B7" s="10" t="s">
        <v>1</v>
      </c>
      <c r="C7" s="11"/>
      <c r="D7" s="15">
        <v>319060</v>
      </c>
      <c r="E7" s="15">
        <v>325440</v>
      </c>
      <c r="F7" s="15">
        <f t="shared" ref="F7:J9" si="2">+E7*1.02</f>
        <v>331948.79999999999</v>
      </c>
      <c r="G7" s="15">
        <f t="shared" si="2"/>
        <v>338587.77600000001</v>
      </c>
      <c r="H7" s="15">
        <f t="shared" si="2"/>
        <v>345359.53152000002</v>
      </c>
      <c r="I7" s="15">
        <f t="shared" si="2"/>
        <v>352266.72215040005</v>
      </c>
      <c r="J7" s="15">
        <f t="shared" si="2"/>
        <v>359312.05659340805</v>
      </c>
      <c r="K7" s="14">
        <v>0.02</v>
      </c>
      <c r="L7" s="5"/>
      <c r="M7" s="5"/>
    </row>
    <row r="8" spans="2:13" x14ac:dyDescent="0.25">
      <c r="B8" s="10" t="s">
        <v>2</v>
      </c>
      <c r="C8" s="11"/>
      <c r="D8" s="15">
        <v>299370</v>
      </c>
      <c r="E8" s="15">
        <v>305360</v>
      </c>
      <c r="F8" s="15">
        <f t="shared" si="2"/>
        <v>311467.2</v>
      </c>
      <c r="G8" s="15">
        <f t="shared" si="2"/>
        <v>317696.54399999999</v>
      </c>
      <c r="H8" s="15">
        <f t="shared" si="2"/>
        <v>324050.47487999999</v>
      </c>
      <c r="I8" s="15">
        <f t="shared" si="2"/>
        <v>330531.48437760002</v>
      </c>
      <c r="J8" s="15">
        <f t="shared" si="2"/>
        <v>337142.11406515201</v>
      </c>
      <c r="K8" s="14">
        <v>0.02</v>
      </c>
      <c r="L8" s="5"/>
      <c r="M8" s="5"/>
    </row>
    <row r="9" spans="2:13" x14ac:dyDescent="0.25">
      <c r="B9" s="10" t="s">
        <v>3</v>
      </c>
      <c r="C9" s="11"/>
      <c r="D9" s="15">
        <v>149030</v>
      </c>
      <c r="E9" s="15">
        <v>152010</v>
      </c>
      <c r="F9" s="15">
        <f t="shared" si="2"/>
        <v>155050.20000000001</v>
      </c>
      <c r="G9" s="15">
        <f t="shared" si="2"/>
        <v>158151.20400000003</v>
      </c>
      <c r="H9" s="15">
        <f t="shared" si="2"/>
        <v>161314.22808000003</v>
      </c>
      <c r="I9" s="15">
        <f t="shared" si="2"/>
        <v>164540.51264160004</v>
      </c>
      <c r="J9" s="15">
        <f t="shared" si="2"/>
        <v>167831.32289443206</v>
      </c>
      <c r="K9" s="14">
        <v>0.02</v>
      </c>
      <c r="L9" s="5"/>
      <c r="M9" s="5"/>
    </row>
    <row r="10" spans="2:13" x14ac:dyDescent="0.25">
      <c r="B10" s="10"/>
      <c r="C10" s="11"/>
      <c r="D10" s="15"/>
      <c r="E10" s="15"/>
      <c r="F10" s="15"/>
      <c r="G10" s="15"/>
      <c r="H10" s="15"/>
      <c r="I10" s="15"/>
      <c r="J10" s="15"/>
      <c r="K10" s="16"/>
      <c r="L10" s="5"/>
      <c r="M10" s="5"/>
    </row>
    <row r="11" spans="2:13" ht="15" x14ac:dyDescent="0.3">
      <c r="B11" s="13" t="s">
        <v>4</v>
      </c>
      <c r="C11" s="11"/>
      <c r="D11" s="3">
        <f>SUM(D12:D16)</f>
        <v>335800</v>
      </c>
      <c r="E11" s="3">
        <f t="shared" ref="E11:J11" si="3">SUM(E12:E16)</f>
        <v>352590</v>
      </c>
      <c r="F11" s="3">
        <f t="shared" si="3"/>
        <v>370219.5</v>
      </c>
      <c r="G11" s="3">
        <f t="shared" si="3"/>
        <v>388730.47499999998</v>
      </c>
      <c r="H11" s="3">
        <f t="shared" si="3"/>
        <v>408166.99875000003</v>
      </c>
      <c r="I11" s="3">
        <f t="shared" si="3"/>
        <v>428575.34868749999</v>
      </c>
      <c r="J11" s="3">
        <f t="shared" si="3"/>
        <v>450004.11612187506</v>
      </c>
      <c r="K11" s="14">
        <v>0.05</v>
      </c>
    </row>
    <row r="12" spans="2:13" x14ac:dyDescent="0.25">
      <c r="B12" s="10" t="s">
        <v>5</v>
      </c>
      <c r="C12" s="11"/>
      <c r="D12" s="15">
        <v>33800</v>
      </c>
      <c r="E12" s="15">
        <v>35490</v>
      </c>
      <c r="F12" s="15">
        <f>+E12*1.05</f>
        <v>37264.5</v>
      </c>
      <c r="G12" s="15">
        <f>+F12*1.05</f>
        <v>39127.724999999999</v>
      </c>
      <c r="H12" s="15">
        <f>+G12*1.05</f>
        <v>41084.111250000002</v>
      </c>
      <c r="I12" s="15">
        <f>+H12*1.05</f>
        <v>43138.316812500001</v>
      </c>
      <c r="J12" s="15">
        <f>+I12*1.05</f>
        <v>45295.232653125</v>
      </c>
      <c r="K12" s="14">
        <v>0.05</v>
      </c>
    </row>
    <row r="13" spans="2:13" x14ac:dyDescent="0.25">
      <c r="B13" s="10" t="s">
        <v>6</v>
      </c>
      <c r="C13" s="11"/>
      <c r="D13" s="15">
        <v>34850</v>
      </c>
      <c r="E13" s="15">
        <v>36590</v>
      </c>
      <c r="F13" s="15">
        <f t="shared" ref="F13:J16" si="4">+E13*1.05</f>
        <v>38419.5</v>
      </c>
      <c r="G13" s="15">
        <f t="shared" si="4"/>
        <v>40340.474999999999</v>
      </c>
      <c r="H13" s="15">
        <f t="shared" si="4"/>
        <v>42357.498749999999</v>
      </c>
      <c r="I13" s="15">
        <f t="shared" si="4"/>
        <v>44475.373687500003</v>
      </c>
      <c r="J13" s="15">
        <f t="shared" si="4"/>
        <v>46699.142371875008</v>
      </c>
      <c r="K13" s="14">
        <v>0.05</v>
      </c>
    </row>
    <row r="14" spans="2:13" x14ac:dyDescent="0.25">
      <c r="B14" s="10" t="s">
        <v>7</v>
      </c>
      <c r="C14" s="11"/>
      <c r="D14" s="15">
        <v>54750</v>
      </c>
      <c r="E14" s="15">
        <v>57490</v>
      </c>
      <c r="F14" s="15">
        <f t="shared" si="4"/>
        <v>60364.5</v>
      </c>
      <c r="G14" s="15">
        <f t="shared" si="4"/>
        <v>63382.725000000006</v>
      </c>
      <c r="H14" s="15">
        <f t="shared" si="4"/>
        <v>66551.861250000002</v>
      </c>
      <c r="I14" s="15">
        <f t="shared" si="4"/>
        <v>69879.454312500005</v>
      </c>
      <c r="J14" s="15">
        <f t="shared" si="4"/>
        <v>73373.427028125006</v>
      </c>
      <c r="K14" s="14">
        <v>0.05</v>
      </c>
    </row>
    <row r="15" spans="2:13" x14ac:dyDescent="0.25">
      <c r="B15" s="10" t="s">
        <v>8</v>
      </c>
      <c r="C15" s="11"/>
      <c r="D15" s="15">
        <v>160400</v>
      </c>
      <c r="E15" s="15">
        <v>168420</v>
      </c>
      <c r="F15" s="15">
        <f t="shared" si="4"/>
        <v>176841</v>
      </c>
      <c r="G15" s="15">
        <f t="shared" si="4"/>
        <v>185683.05000000002</v>
      </c>
      <c r="H15" s="15">
        <f t="shared" si="4"/>
        <v>194967.20250000001</v>
      </c>
      <c r="I15" s="15">
        <f t="shared" si="4"/>
        <v>204715.56262500002</v>
      </c>
      <c r="J15" s="15">
        <f t="shared" si="4"/>
        <v>214951.34075625002</v>
      </c>
      <c r="K15" s="14">
        <v>0.05</v>
      </c>
    </row>
    <row r="16" spans="2:13" x14ac:dyDescent="0.25">
      <c r="B16" s="10" t="s">
        <v>9</v>
      </c>
      <c r="C16" s="11"/>
      <c r="D16" s="15">
        <v>52000</v>
      </c>
      <c r="E16" s="15">
        <v>54600</v>
      </c>
      <c r="F16" s="15">
        <f t="shared" si="4"/>
        <v>57330</v>
      </c>
      <c r="G16" s="15">
        <f t="shared" si="4"/>
        <v>60196.5</v>
      </c>
      <c r="H16" s="15">
        <f t="shared" si="4"/>
        <v>63206.325000000004</v>
      </c>
      <c r="I16" s="15">
        <f t="shared" si="4"/>
        <v>66366.641250000001</v>
      </c>
      <c r="J16" s="15">
        <f t="shared" si="4"/>
        <v>69684.973312500006</v>
      </c>
      <c r="K16" s="14">
        <v>0.05</v>
      </c>
    </row>
    <row r="17" spans="2:11" x14ac:dyDescent="0.25">
      <c r="B17" s="10"/>
      <c r="C17" s="11"/>
      <c r="D17" s="15"/>
      <c r="E17" s="15"/>
      <c r="F17" s="15"/>
      <c r="G17" s="15"/>
      <c r="H17" s="15"/>
      <c r="I17" s="15"/>
      <c r="J17" s="15"/>
      <c r="K17" s="12"/>
    </row>
    <row r="18" spans="2:11" ht="15" x14ac:dyDescent="0.3">
      <c r="B18" s="13" t="s">
        <v>10</v>
      </c>
      <c r="C18" s="11"/>
      <c r="D18" s="3">
        <f t="shared" ref="D18:J18" si="5">SUM(D19:D22)</f>
        <v>65200</v>
      </c>
      <c r="E18" s="3">
        <f t="shared" si="5"/>
        <v>68460</v>
      </c>
      <c r="F18" s="3">
        <f t="shared" si="5"/>
        <v>71860</v>
      </c>
      <c r="G18" s="3">
        <f t="shared" si="5"/>
        <v>75480</v>
      </c>
      <c r="H18" s="3">
        <f t="shared" si="5"/>
        <v>79240</v>
      </c>
      <c r="I18" s="3">
        <f t="shared" si="5"/>
        <v>82190</v>
      </c>
      <c r="J18" s="3">
        <f t="shared" si="5"/>
        <v>87290</v>
      </c>
      <c r="K18" s="14">
        <v>0.05</v>
      </c>
    </row>
    <row r="19" spans="2:11" x14ac:dyDescent="0.25">
      <c r="B19" s="10" t="s">
        <v>11</v>
      </c>
      <c r="C19" s="11"/>
      <c r="D19" s="15">
        <v>45500</v>
      </c>
      <c r="E19" s="15">
        <v>42300</v>
      </c>
      <c r="F19" s="15">
        <v>39600</v>
      </c>
      <c r="G19" s="15">
        <v>36800</v>
      </c>
      <c r="H19" s="15">
        <v>34300</v>
      </c>
      <c r="I19" s="15">
        <v>31050</v>
      </c>
      <c r="J19" s="15">
        <v>29500</v>
      </c>
      <c r="K19" s="12"/>
    </row>
    <row r="20" spans="2:11" x14ac:dyDescent="0.25">
      <c r="B20" s="10" t="s">
        <v>12</v>
      </c>
      <c r="C20" s="11"/>
      <c r="D20" s="15">
        <v>1000</v>
      </c>
      <c r="E20" s="15">
        <v>6520</v>
      </c>
      <c r="F20" s="15">
        <v>11650</v>
      </c>
      <c r="G20" s="15">
        <v>17030</v>
      </c>
      <c r="H20" s="15">
        <v>22220</v>
      </c>
      <c r="I20" s="15">
        <v>27270</v>
      </c>
      <c r="J20" s="15">
        <v>32740</v>
      </c>
      <c r="K20" s="12"/>
    </row>
    <row r="21" spans="2:11" x14ac:dyDescent="0.25">
      <c r="B21" s="10" t="s">
        <v>13</v>
      </c>
      <c r="C21" s="11"/>
      <c r="D21" s="15">
        <v>13200</v>
      </c>
      <c r="E21" s="15">
        <v>13860</v>
      </c>
      <c r="F21" s="15">
        <v>14550</v>
      </c>
      <c r="G21" s="15">
        <v>15280</v>
      </c>
      <c r="H21" s="15">
        <v>16040</v>
      </c>
      <c r="I21" s="15">
        <v>16850</v>
      </c>
      <c r="J21" s="15">
        <v>17680</v>
      </c>
      <c r="K21" s="12"/>
    </row>
    <row r="22" spans="2:11" x14ac:dyDescent="0.25">
      <c r="B22" s="10" t="s">
        <v>14</v>
      </c>
      <c r="C22" s="11"/>
      <c r="D22" s="15">
        <v>5500</v>
      </c>
      <c r="E22" s="15">
        <v>5780</v>
      </c>
      <c r="F22" s="15">
        <v>6060</v>
      </c>
      <c r="G22" s="15">
        <v>6370</v>
      </c>
      <c r="H22" s="15">
        <v>6680</v>
      </c>
      <c r="I22" s="15">
        <v>7020</v>
      </c>
      <c r="J22" s="15">
        <v>7370</v>
      </c>
      <c r="K22" s="12"/>
    </row>
    <row r="23" spans="2:11" x14ac:dyDescent="0.25">
      <c r="B23" s="10"/>
      <c r="C23" s="11"/>
      <c r="D23" s="15"/>
      <c r="E23" s="15"/>
      <c r="F23" s="15"/>
      <c r="G23" s="15"/>
      <c r="H23" s="15"/>
      <c r="I23" s="15"/>
      <c r="J23" s="15"/>
      <c r="K23" s="12"/>
    </row>
    <row r="24" spans="2:11" ht="15" x14ac:dyDescent="0.3">
      <c r="B24" s="13" t="s">
        <v>15</v>
      </c>
      <c r="C24" s="11"/>
      <c r="D24" s="3">
        <f t="shared" ref="D24:J24" si="6">SUM(D25:D26)</f>
        <v>175700</v>
      </c>
      <c r="E24" s="3">
        <f t="shared" si="6"/>
        <v>180850</v>
      </c>
      <c r="F24" s="3">
        <f t="shared" si="6"/>
        <v>186275.5</v>
      </c>
      <c r="G24" s="3">
        <f t="shared" si="6"/>
        <v>191863.76500000001</v>
      </c>
      <c r="H24" s="3">
        <f t="shared" si="6"/>
        <v>197619.67795000001</v>
      </c>
      <c r="I24" s="3">
        <f t="shared" si="6"/>
        <v>203548.26828850002</v>
      </c>
      <c r="J24" s="3">
        <f t="shared" si="6"/>
        <v>209654.71633715503</v>
      </c>
      <c r="K24" s="14">
        <v>0.03</v>
      </c>
    </row>
    <row r="25" spans="2:11" x14ac:dyDescent="0.25">
      <c r="B25" s="10" t="s">
        <v>16</v>
      </c>
      <c r="C25" s="11"/>
      <c r="D25" s="15">
        <v>170500</v>
      </c>
      <c r="E25" s="15">
        <v>175500</v>
      </c>
      <c r="F25" s="15">
        <f t="shared" ref="F25:J26" si="7">+E25*1.03</f>
        <v>180765</v>
      </c>
      <c r="G25" s="15">
        <f t="shared" si="7"/>
        <v>186187.95</v>
      </c>
      <c r="H25" s="15">
        <f t="shared" si="7"/>
        <v>191773.58850000001</v>
      </c>
      <c r="I25" s="15">
        <f t="shared" si="7"/>
        <v>197526.79615500002</v>
      </c>
      <c r="J25" s="15">
        <f t="shared" si="7"/>
        <v>203452.60003965002</v>
      </c>
      <c r="K25" s="14">
        <v>0.03</v>
      </c>
    </row>
    <row r="26" spans="2:11" x14ac:dyDescent="0.25">
      <c r="B26" s="10" t="s">
        <v>17</v>
      </c>
      <c r="C26" s="11"/>
      <c r="D26" s="15">
        <v>5200</v>
      </c>
      <c r="E26" s="15">
        <v>5350</v>
      </c>
      <c r="F26" s="15">
        <f t="shared" si="7"/>
        <v>5510.5</v>
      </c>
      <c r="G26" s="15">
        <f t="shared" si="7"/>
        <v>5675.8150000000005</v>
      </c>
      <c r="H26" s="15">
        <f t="shared" si="7"/>
        <v>5846.0894500000004</v>
      </c>
      <c r="I26" s="15">
        <f t="shared" si="7"/>
        <v>6021.4721335000004</v>
      </c>
      <c r="J26" s="15">
        <f t="shared" si="7"/>
        <v>6202.1162975050001</v>
      </c>
      <c r="K26" s="14">
        <v>0.03</v>
      </c>
    </row>
    <row r="27" spans="2:11" x14ac:dyDescent="0.25">
      <c r="B27" s="10"/>
      <c r="C27" s="11"/>
      <c r="D27" s="15"/>
      <c r="E27" s="15"/>
      <c r="F27" s="15"/>
      <c r="G27" s="15"/>
      <c r="H27" s="15"/>
      <c r="I27" s="15"/>
      <c r="J27" s="15"/>
      <c r="K27" s="12"/>
    </row>
    <row r="28" spans="2:11" ht="15" x14ac:dyDescent="0.3">
      <c r="B28" s="13" t="s">
        <v>18</v>
      </c>
      <c r="C28" s="11"/>
      <c r="D28" s="3">
        <v>0</v>
      </c>
      <c r="E28" s="3">
        <v>60000</v>
      </c>
      <c r="F28" s="3">
        <v>90000</v>
      </c>
      <c r="G28" s="3">
        <v>120000</v>
      </c>
      <c r="H28" s="3">
        <v>180000</v>
      </c>
      <c r="I28" s="3">
        <v>210000</v>
      </c>
      <c r="J28" s="3">
        <v>240000</v>
      </c>
      <c r="K28" s="12"/>
    </row>
    <row r="29" spans="2:11" ht="15" x14ac:dyDescent="0.3">
      <c r="B29" s="13"/>
      <c r="C29" s="11"/>
      <c r="D29" s="15"/>
      <c r="E29" s="15"/>
      <c r="F29" s="15"/>
      <c r="G29" s="15"/>
      <c r="H29" s="15"/>
      <c r="I29" s="15"/>
      <c r="J29" s="15"/>
      <c r="K29" s="12"/>
    </row>
    <row r="30" spans="2:11" ht="15" x14ac:dyDescent="0.3">
      <c r="B30" s="13" t="s">
        <v>19</v>
      </c>
      <c r="C30" s="11"/>
      <c r="D30" s="3">
        <v>10261</v>
      </c>
      <c r="E30" s="3">
        <v>11261</v>
      </c>
      <c r="F30" s="3">
        <v>11937</v>
      </c>
      <c r="G30" s="3">
        <v>12653</v>
      </c>
      <c r="H30" s="3">
        <v>13413</v>
      </c>
      <c r="I30" s="3">
        <v>14217</v>
      </c>
      <c r="J30" s="3">
        <v>15070</v>
      </c>
      <c r="K30" s="17" t="s">
        <v>20</v>
      </c>
    </row>
    <row r="31" spans="2:11" x14ac:dyDescent="0.25">
      <c r="B31" s="18"/>
      <c r="C31" s="19"/>
      <c r="D31" s="19"/>
      <c r="E31" s="19"/>
      <c r="F31" s="19"/>
      <c r="G31" s="19"/>
      <c r="H31" s="19"/>
      <c r="I31" s="19"/>
      <c r="J31" s="19"/>
      <c r="K31" s="20"/>
    </row>
    <row r="33" spans="2:11" ht="15" x14ac:dyDescent="0.3">
      <c r="B33" s="6"/>
      <c r="C33" s="7"/>
      <c r="D33" s="8">
        <v>2006</v>
      </c>
      <c r="E33" s="8">
        <v>2007</v>
      </c>
      <c r="F33" s="8">
        <v>2008</v>
      </c>
      <c r="G33" s="8">
        <v>2009</v>
      </c>
      <c r="H33" s="8">
        <v>2010</v>
      </c>
      <c r="I33" s="8">
        <v>2011</v>
      </c>
      <c r="J33" s="8">
        <v>2012</v>
      </c>
      <c r="K33" s="9"/>
    </row>
    <row r="34" spans="2:11" x14ac:dyDescent="0.25">
      <c r="B34" s="10"/>
      <c r="C34" s="11"/>
      <c r="D34" s="11"/>
      <c r="E34" s="11"/>
      <c r="F34" s="11"/>
      <c r="G34" s="11"/>
      <c r="H34" s="11"/>
      <c r="I34" s="11"/>
      <c r="J34" s="11"/>
      <c r="K34" s="12"/>
    </row>
    <row r="35" spans="2:11" ht="15" x14ac:dyDescent="0.3">
      <c r="B35" s="13" t="s">
        <v>0</v>
      </c>
      <c r="C35" s="11"/>
      <c r="D35" s="3">
        <f>SUM(D36:D38)</f>
        <v>131400</v>
      </c>
      <c r="E35" s="3">
        <f t="shared" ref="E35:J35" si="8">SUM(E36:E38)</f>
        <v>192760</v>
      </c>
      <c r="F35" s="3">
        <f t="shared" si="8"/>
        <v>210230</v>
      </c>
      <c r="G35" s="3">
        <f t="shared" si="8"/>
        <v>220750</v>
      </c>
      <c r="H35" s="3">
        <f t="shared" si="8"/>
        <v>231470</v>
      </c>
      <c r="I35" s="3">
        <f t="shared" si="8"/>
        <v>242250</v>
      </c>
      <c r="J35" s="3">
        <f t="shared" si="8"/>
        <v>253030</v>
      </c>
      <c r="K35" s="12"/>
    </row>
    <row r="36" spans="2:11" x14ac:dyDescent="0.25">
      <c r="B36" s="10" t="s">
        <v>1</v>
      </c>
      <c r="C36" s="11"/>
      <c r="D36" s="15">
        <v>74000</v>
      </c>
      <c r="E36" s="15">
        <v>117460</v>
      </c>
      <c r="F36" s="15">
        <v>130570</v>
      </c>
      <c r="G36" s="15">
        <v>136310</v>
      </c>
      <c r="H36" s="15">
        <v>142930</v>
      </c>
      <c r="I36" s="15">
        <v>149580</v>
      </c>
      <c r="J36" s="15">
        <v>156180</v>
      </c>
      <c r="K36" s="12"/>
    </row>
    <row r="37" spans="2:11" x14ac:dyDescent="0.25">
      <c r="B37" s="10" t="s">
        <v>2</v>
      </c>
      <c r="C37" s="11"/>
      <c r="D37" s="15">
        <v>43200</v>
      </c>
      <c r="E37" s="15">
        <v>57090</v>
      </c>
      <c r="F37" s="15">
        <v>59830</v>
      </c>
      <c r="G37" s="15">
        <v>63380</v>
      </c>
      <c r="H37" s="15">
        <v>66420</v>
      </c>
      <c r="I37" s="15">
        <v>69490</v>
      </c>
      <c r="J37" s="15">
        <v>72590</v>
      </c>
      <c r="K37" s="12"/>
    </row>
    <row r="38" spans="2:11" x14ac:dyDescent="0.25">
      <c r="B38" s="10" t="s">
        <v>3</v>
      </c>
      <c r="C38" s="11"/>
      <c r="D38" s="15">
        <v>14200</v>
      </c>
      <c r="E38" s="15">
        <v>18210</v>
      </c>
      <c r="F38" s="15">
        <v>19830</v>
      </c>
      <c r="G38" s="15">
        <v>21060</v>
      </c>
      <c r="H38" s="15">
        <v>22120</v>
      </c>
      <c r="I38" s="15">
        <v>23180</v>
      </c>
      <c r="J38" s="15">
        <v>24260</v>
      </c>
      <c r="K38" s="12"/>
    </row>
    <row r="39" spans="2:11" x14ac:dyDescent="0.25">
      <c r="B39" s="10"/>
      <c r="C39" s="11"/>
      <c r="D39" s="11"/>
      <c r="E39" s="11"/>
      <c r="F39" s="11"/>
      <c r="G39" s="11"/>
      <c r="H39" s="11"/>
      <c r="I39" s="11"/>
      <c r="J39" s="11"/>
      <c r="K39" s="12"/>
    </row>
    <row r="40" spans="2:11" ht="15" x14ac:dyDescent="0.3">
      <c r="B40" s="13" t="s">
        <v>4</v>
      </c>
      <c r="C40" s="11"/>
      <c r="D40" s="3">
        <f>SUM(D41:D45)</f>
        <v>16550</v>
      </c>
      <c r="E40" s="3">
        <f t="shared" ref="E40:J40" si="9">SUM(E41:E45)</f>
        <v>67180</v>
      </c>
      <c r="F40" s="3">
        <f t="shared" si="9"/>
        <v>77690</v>
      </c>
      <c r="G40" s="3">
        <f t="shared" si="9"/>
        <v>83210</v>
      </c>
      <c r="H40" s="3">
        <f t="shared" si="9"/>
        <v>88730</v>
      </c>
      <c r="I40" s="3">
        <f t="shared" si="9"/>
        <v>99270</v>
      </c>
      <c r="J40" s="3">
        <f t="shared" si="9"/>
        <v>104860</v>
      </c>
      <c r="K40" s="12"/>
    </row>
    <row r="41" spans="2:11" x14ac:dyDescent="0.25">
      <c r="B41" s="10" t="s">
        <v>5</v>
      </c>
      <c r="C41" s="11"/>
      <c r="D41" s="15">
        <v>3000</v>
      </c>
      <c r="E41" s="15">
        <v>3070</v>
      </c>
      <c r="F41" s="15">
        <v>3150</v>
      </c>
      <c r="G41" s="15">
        <v>3240</v>
      </c>
      <c r="H41" s="15">
        <v>3320</v>
      </c>
      <c r="I41" s="15">
        <v>3410</v>
      </c>
      <c r="J41" s="15">
        <v>3500</v>
      </c>
      <c r="K41" s="12"/>
    </row>
    <row r="42" spans="2:11" x14ac:dyDescent="0.25">
      <c r="B42" s="10" t="s">
        <v>6</v>
      </c>
      <c r="C42" s="11"/>
      <c r="D42" s="15">
        <v>700</v>
      </c>
      <c r="E42" s="15">
        <v>50910</v>
      </c>
      <c r="F42" s="15">
        <v>60980</v>
      </c>
      <c r="G42" s="15">
        <v>66050</v>
      </c>
      <c r="H42" s="15">
        <v>71120</v>
      </c>
      <c r="I42" s="15">
        <v>81190</v>
      </c>
      <c r="J42" s="15">
        <v>86260</v>
      </c>
      <c r="K42" s="12"/>
    </row>
    <row r="43" spans="2:11" x14ac:dyDescent="0.25">
      <c r="B43" s="10" t="s">
        <v>7</v>
      </c>
      <c r="C43" s="11"/>
      <c r="D43" s="15">
        <v>250</v>
      </c>
      <c r="E43" s="15">
        <v>260</v>
      </c>
      <c r="F43" s="15">
        <v>270</v>
      </c>
      <c r="G43" s="15">
        <v>280</v>
      </c>
      <c r="H43" s="15">
        <v>290</v>
      </c>
      <c r="I43" s="15">
        <v>300</v>
      </c>
      <c r="J43" s="15">
        <v>310</v>
      </c>
      <c r="K43" s="12"/>
    </row>
    <row r="44" spans="2:11" x14ac:dyDescent="0.25">
      <c r="B44" s="10" t="s">
        <v>8</v>
      </c>
      <c r="C44" s="11"/>
      <c r="D44" s="15">
        <v>9600</v>
      </c>
      <c r="E44" s="15">
        <v>9860</v>
      </c>
      <c r="F44" s="15">
        <v>10120</v>
      </c>
      <c r="G44" s="15">
        <v>10390</v>
      </c>
      <c r="H44" s="15">
        <v>10650</v>
      </c>
      <c r="I44" s="15">
        <v>10920</v>
      </c>
      <c r="J44" s="15">
        <v>11250</v>
      </c>
      <c r="K44" s="12"/>
    </row>
    <row r="45" spans="2:11" x14ac:dyDescent="0.25">
      <c r="B45" s="10" t="s">
        <v>9</v>
      </c>
      <c r="C45" s="11"/>
      <c r="D45" s="15">
        <v>3000</v>
      </c>
      <c r="E45" s="15">
        <v>3080</v>
      </c>
      <c r="F45" s="15">
        <v>3170</v>
      </c>
      <c r="G45" s="15">
        <v>3250</v>
      </c>
      <c r="H45" s="15">
        <v>3350</v>
      </c>
      <c r="I45" s="15">
        <v>3450</v>
      </c>
      <c r="J45" s="15">
        <v>3540</v>
      </c>
      <c r="K45" s="12"/>
    </row>
    <row r="46" spans="2:11" x14ac:dyDescent="0.25">
      <c r="B46" s="10"/>
      <c r="C46" s="11"/>
      <c r="D46" s="15"/>
      <c r="E46" s="15"/>
      <c r="F46" s="15"/>
      <c r="G46" s="15"/>
      <c r="H46" s="15"/>
      <c r="I46" s="15"/>
      <c r="J46" s="15"/>
      <c r="K46" s="12"/>
    </row>
    <row r="47" spans="2:11" ht="15" x14ac:dyDescent="0.3">
      <c r="B47" s="13" t="s">
        <v>10</v>
      </c>
      <c r="C47" s="11"/>
      <c r="D47" s="3">
        <f>SUM(D48:D51)</f>
        <v>6500</v>
      </c>
      <c r="E47" s="3">
        <f t="shared" ref="E47:J47" si="10">SUM(E48:E51)</f>
        <v>61080</v>
      </c>
      <c r="F47" s="3">
        <f t="shared" si="10"/>
        <v>79310</v>
      </c>
      <c r="G47" s="3">
        <f t="shared" si="10"/>
        <v>86650</v>
      </c>
      <c r="H47" s="3">
        <f t="shared" si="10"/>
        <v>93990</v>
      </c>
      <c r="I47" s="3">
        <f t="shared" si="10"/>
        <v>101340</v>
      </c>
      <c r="J47" s="3">
        <f t="shared" si="10"/>
        <v>108730</v>
      </c>
      <c r="K47" s="12"/>
    </row>
    <row r="48" spans="2:11" x14ac:dyDescent="0.25">
      <c r="B48" s="10" t="s">
        <v>11</v>
      </c>
      <c r="C48" s="11"/>
      <c r="D48" s="15">
        <v>3500</v>
      </c>
      <c r="E48" s="15">
        <v>17100</v>
      </c>
      <c r="F48" s="15">
        <v>18700</v>
      </c>
      <c r="G48" s="15">
        <v>18800</v>
      </c>
      <c r="H48" s="15">
        <v>18900</v>
      </c>
      <c r="I48" s="15">
        <v>19000</v>
      </c>
      <c r="J48" s="15">
        <v>19100</v>
      </c>
      <c r="K48" s="12"/>
    </row>
    <row r="49" spans="2:11" x14ac:dyDescent="0.25">
      <c r="B49" s="10" t="s">
        <v>12</v>
      </c>
      <c r="C49" s="11"/>
      <c r="D49" s="15">
        <v>0</v>
      </c>
      <c r="E49" s="15">
        <v>9400</v>
      </c>
      <c r="F49" s="15">
        <v>15450</v>
      </c>
      <c r="G49" s="15">
        <v>19500</v>
      </c>
      <c r="H49" s="15">
        <v>23550</v>
      </c>
      <c r="I49" s="15">
        <v>27600</v>
      </c>
      <c r="J49" s="15">
        <v>31650</v>
      </c>
      <c r="K49" s="12"/>
    </row>
    <row r="50" spans="2:11" x14ac:dyDescent="0.25">
      <c r="B50" s="10" t="s">
        <v>13</v>
      </c>
      <c r="C50" s="11"/>
      <c r="D50" s="15">
        <v>2000</v>
      </c>
      <c r="E50" s="15">
        <v>2050</v>
      </c>
      <c r="F50" s="15">
        <v>2100</v>
      </c>
      <c r="G50" s="15">
        <v>2160</v>
      </c>
      <c r="H50" s="15">
        <v>2220</v>
      </c>
      <c r="I50" s="15">
        <v>2300</v>
      </c>
      <c r="J50" s="15">
        <v>2380</v>
      </c>
      <c r="K50" s="12"/>
    </row>
    <row r="51" spans="2:11" x14ac:dyDescent="0.25">
      <c r="B51" s="10" t="s">
        <v>14</v>
      </c>
      <c r="C51" s="11"/>
      <c r="D51" s="15">
        <v>1000</v>
      </c>
      <c r="E51" s="15">
        <v>32530</v>
      </c>
      <c r="F51" s="15">
        <v>43060</v>
      </c>
      <c r="G51" s="15">
        <v>46190</v>
      </c>
      <c r="H51" s="15">
        <v>49320</v>
      </c>
      <c r="I51" s="15">
        <v>52440</v>
      </c>
      <c r="J51" s="15">
        <v>55600</v>
      </c>
      <c r="K51" s="12"/>
    </row>
    <row r="52" spans="2:11" x14ac:dyDescent="0.25">
      <c r="B52" s="10"/>
      <c r="C52" s="11"/>
      <c r="D52" s="15"/>
      <c r="E52" s="15"/>
      <c r="F52" s="15"/>
      <c r="G52" s="15"/>
      <c r="H52" s="15"/>
      <c r="I52" s="15"/>
      <c r="J52" s="15"/>
      <c r="K52" s="12"/>
    </row>
    <row r="53" spans="2:11" ht="15" x14ac:dyDescent="0.3">
      <c r="B53" s="13" t="s">
        <v>15</v>
      </c>
      <c r="C53" s="11"/>
      <c r="D53" s="3">
        <f>SUM(D54:D55)</f>
        <v>10600</v>
      </c>
      <c r="E53" s="3">
        <f t="shared" ref="E53:J53" si="11">SUM(E54:E55)</f>
        <v>10910</v>
      </c>
      <c r="F53" s="3">
        <f t="shared" si="11"/>
        <v>11220</v>
      </c>
      <c r="G53" s="3">
        <f t="shared" si="11"/>
        <v>11540</v>
      </c>
      <c r="H53" s="3">
        <f t="shared" si="11"/>
        <v>11860</v>
      </c>
      <c r="I53" s="3">
        <f t="shared" si="11"/>
        <v>12190</v>
      </c>
      <c r="J53" s="3">
        <f t="shared" si="11"/>
        <v>12520</v>
      </c>
      <c r="K53" s="12"/>
    </row>
    <row r="54" spans="2:11" x14ac:dyDescent="0.25">
      <c r="B54" s="10" t="s">
        <v>16</v>
      </c>
      <c r="C54" s="11"/>
      <c r="D54" s="15">
        <v>9500</v>
      </c>
      <c r="E54" s="15">
        <v>9740</v>
      </c>
      <c r="F54" s="15">
        <v>9980</v>
      </c>
      <c r="G54" s="15">
        <v>10220</v>
      </c>
      <c r="H54" s="15">
        <v>10460</v>
      </c>
      <c r="I54" s="15">
        <v>10710</v>
      </c>
      <c r="J54" s="15">
        <v>10960</v>
      </c>
      <c r="K54" s="12"/>
    </row>
    <row r="55" spans="2:11" x14ac:dyDescent="0.25">
      <c r="B55" s="10" t="s">
        <v>17</v>
      </c>
      <c r="C55" s="11"/>
      <c r="D55" s="15">
        <v>1100</v>
      </c>
      <c r="E55" s="15">
        <v>1170</v>
      </c>
      <c r="F55" s="15">
        <v>1240</v>
      </c>
      <c r="G55" s="15">
        <v>1320</v>
      </c>
      <c r="H55" s="15">
        <v>1400</v>
      </c>
      <c r="I55" s="15">
        <v>1480</v>
      </c>
      <c r="J55" s="15">
        <v>1560</v>
      </c>
      <c r="K55" s="12"/>
    </row>
    <row r="56" spans="2:11" x14ac:dyDescent="0.25">
      <c r="B56" s="10"/>
      <c r="C56" s="11"/>
      <c r="D56" s="15"/>
      <c r="E56" s="15"/>
      <c r="F56" s="15"/>
      <c r="G56" s="15"/>
      <c r="H56" s="15"/>
      <c r="I56" s="15"/>
      <c r="J56" s="15"/>
      <c r="K56" s="12"/>
    </row>
    <row r="57" spans="2:11" ht="15" x14ac:dyDescent="0.3">
      <c r="B57" s="13" t="s">
        <v>18</v>
      </c>
      <c r="C57" s="11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12"/>
    </row>
    <row r="58" spans="2:11" ht="15" x14ac:dyDescent="0.3">
      <c r="B58" s="13"/>
      <c r="C58" s="11"/>
      <c r="D58" s="15"/>
      <c r="E58" s="15"/>
      <c r="F58" s="15"/>
      <c r="G58" s="15"/>
      <c r="H58" s="15"/>
      <c r="I58" s="15"/>
      <c r="J58" s="15"/>
      <c r="K58" s="12"/>
    </row>
    <row r="59" spans="2:11" ht="15" x14ac:dyDescent="0.3">
      <c r="B59" s="13" t="s">
        <v>19</v>
      </c>
      <c r="C59" s="11"/>
      <c r="D59" s="3">
        <v>2000</v>
      </c>
      <c r="E59" s="3">
        <v>2200</v>
      </c>
      <c r="F59" s="3">
        <v>2400</v>
      </c>
      <c r="G59" s="3">
        <v>2750</v>
      </c>
      <c r="H59" s="3">
        <v>3000</v>
      </c>
      <c r="I59" s="19">
        <v>3250</v>
      </c>
      <c r="J59" s="3">
        <v>3550</v>
      </c>
      <c r="K59" s="17" t="s">
        <v>21</v>
      </c>
    </row>
    <row r="60" spans="2:11" x14ac:dyDescent="0.25">
      <c r="B60" s="18"/>
      <c r="C60" s="19"/>
      <c r="D60" s="19"/>
      <c r="E60" s="19"/>
      <c r="F60" s="19"/>
      <c r="G60" s="19"/>
      <c r="H60" s="19"/>
      <c r="I60" s="19"/>
      <c r="J60" s="19"/>
      <c r="K60" s="20"/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4:N17"/>
  <sheetViews>
    <sheetView workbookViewId="0">
      <selection activeCell="G4" sqref="G4:L4"/>
    </sheetView>
  </sheetViews>
  <sheetFormatPr defaultRowHeight="13.5" x14ac:dyDescent="0.25"/>
  <cols>
    <col min="1" max="1" width="9.140625" style="1"/>
    <col min="2" max="2" width="23.5703125" style="1" bestFit="1" customWidth="1"/>
    <col min="3" max="4" width="9.140625" style="1"/>
    <col min="5" max="5" width="16.85546875" style="1" customWidth="1"/>
    <col min="6" max="11" width="9.140625" style="1"/>
    <col min="12" max="12" width="7.85546875" style="1" customWidth="1"/>
    <col min="13" max="16384" width="9.140625" style="1"/>
  </cols>
  <sheetData>
    <row r="4" spans="2:14" ht="45" x14ac:dyDescent="0.25">
      <c r="B4" s="35" t="s">
        <v>156</v>
      </c>
      <c r="C4" s="36" t="s">
        <v>157</v>
      </c>
      <c r="D4" s="36" t="s">
        <v>158</v>
      </c>
      <c r="E4" s="36" t="s">
        <v>159</v>
      </c>
      <c r="F4" s="35">
        <v>2014</v>
      </c>
      <c r="G4" s="35">
        <f>+F4+1</f>
        <v>2015</v>
      </c>
      <c r="H4" s="35">
        <f t="shared" ref="H4:L4" si="0">+G4+1</f>
        <v>2016</v>
      </c>
      <c r="I4" s="35">
        <f t="shared" si="0"/>
        <v>2017</v>
      </c>
      <c r="J4" s="35">
        <f t="shared" si="0"/>
        <v>2018</v>
      </c>
      <c r="K4" s="35">
        <f t="shared" si="0"/>
        <v>2019</v>
      </c>
      <c r="L4" s="35">
        <f t="shared" si="0"/>
        <v>2020</v>
      </c>
    </row>
    <row r="5" spans="2:14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4" ht="28.5" customHeight="1" x14ac:dyDescent="0.25">
      <c r="B6" s="37" t="s">
        <v>160</v>
      </c>
      <c r="C6" s="45">
        <f>365/D6</f>
        <v>39.205155746509128</v>
      </c>
      <c r="D6" s="45">
        <v>9.31</v>
      </c>
      <c r="E6" s="39" t="s">
        <v>161</v>
      </c>
      <c r="F6" s="37"/>
      <c r="G6" s="40">
        <f>(BU!D11+BU!D12)/'Obrtna imovina'!$D$6</f>
        <v>16790.045114930184</v>
      </c>
      <c r="H6" s="40">
        <f>(BU!E11+BU!E12)/'Obrtna imovina'!$D$6</f>
        <v>17496.970930075182</v>
      </c>
      <c r="I6" s="40">
        <f>(BU!F11+BU!F12)/'Obrtna imovina'!$D$6</f>
        <v>18106.015192430717</v>
      </c>
      <c r="J6" s="40">
        <f>(BU!G11+BU!G12)/'Obrtna imovina'!$D$6</f>
        <v>18756.962686601833</v>
      </c>
      <c r="K6" s="40">
        <f>(BU!H11+BU!H12)/'Obrtna imovina'!$D$6</f>
        <v>19403.266036767705</v>
      </c>
      <c r="L6" s="40">
        <f>(BU!I11+BU!I12)/'Obrtna imovina'!$D$6</f>
        <v>20053.835996678496</v>
      </c>
    </row>
    <row r="7" spans="2:14" x14ac:dyDescent="0.25">
      <c r="B7" s="37"/>
      <c r="C7" s="45"/>
      <c r="D7" s="38"/>
      <c r="E7" s="37"/>
      <c r="F7" s="37"/>
      <c r="G7" s="40"/>
      <c r="H7" s="40"/>
      <c r="I7" s="40"/>
      <c r="J7" s="40"/>
      <c r="K7" s="40"/>
      <c r="L7" s="40"/>
    </row>
    <row r="8" spans="2:14" x14ac:dyDescent="0.25">
      <c r="B8" s="37" t="s">
        <v>162</v>
      </c>
      <c r="C8" s="45">
        <f>365/D8</f>
        <v>60.000003287671419</v>
      </c>
      <c r="D8" s="45">
        <v>6.0833329999999997</v>
      </c>
      <c r="E8" s="38" t="s">
        <v>163</v>
      </c>
      <c r="F8" s="40"/>
      <c r="G8" s="40">
        <f>BU!D7/$D$8</f>
        <v>41418.660722995104</v>
      </c>
      <c r="H8" s="40">
        <f>BU!E7/$D$8</f>
        <v>43289.567871921528</v>
      </c>
      <c r="I8" s="40">
        <f>BU!F7/$D$8</f>
        <v>44825.014512233676</v>
      </c>
      <c r="J8" s="40">
        <f>BU!G7/$D$8</f>
        <v>46506.329661700671</v>
      </c>
      <c r="K8" s="40">
        <f>BU!H7/$D$8</f>
        <v>48129.730707159484</v>
      </c>
      <c r="L8" s="40">
        <f>BU!I7/$D$8</f>
        <v>49762.993466088381</v>
      </c>
    </row>
    <row r="9" spans="2:14" x14ac:dyDescent="0.25">
      <c r="B9" s="37"/>
      <c r="C9" s="45"/>
      <c r="D9" s="38"/>
      <c r="E9" s="37"/>
      <c r="F9" s="37"/>
      <c r="G9" s="40"/>
      <c r="H9" s="40"/>
      <c r="I9" s="40"/>
      <c r="J9" s="40"/>
      <c r="K9" s="40"/>
      <c r="L9" s="40"/>
      <c r="N9" s="1">
        <f>365/60</f>
        <v>6.083333333333333</v>
      </c>
    </row>
    <row r="10" spans="2:14" ht="56.25" customHeight="1" x14ac:dyDescent="0.25">
      <c r="B10" s="41" t="s">
        <v>164</v>
      </c>
      <c r="C10" s="45">
        <f>365/D10</f>
        <v>1.4961469093293982</v>
      </c>
      <c r="D10" s="45">
        <v>243.96</v>
      </c>
      <c r="E10" s="39" t="s">
        <v>165</v>
      </c>
      <c r="F10" s="40"/>
      <c r="G10" s="40">
        <f>(BU!D11+BU!D12+BU!D15)/'Obrtna imovina'!$D$10</f>
        <v>713.54451557632399</v>
      </c>
      <c r="H10" s="40">
        <f>(BU!E11+BU!E12+BU!E15)/'Obrtna imovina'!$D$10</f>
        <v>742.27250106164934</v>
      </c>
      <c r="I10" s="40">
        <f>(BU!F11+BU!F12+BU!F15)/'Obrtna imovina'!$D$10</f>
        <v>767.21594294773718</v>
      </c>
      <c r="J10" s="40">
        <f>(BU!G11+BU!G12+BU!G15)/'Obrtna imovina'!$D$10</f>
        <v>793.79948603157516</v>
      </c>
      <c r="K10" s="40">
        <f>(BU!H11+BU!H12+BU!H15)/'Obrtna imovina'!$D$10</f>
        <v>819.32450730573601</v>
      </c>
      <c r="L10" s="40">
        <f>(BU!I11+BU!I12+BU!I15)/'Obrtna imovina'!$D$10</f>
        <v>845.8772467989703</v>
      </c>
    </row>
    <row r="11" spans="2:14" x14ac:dyDescent="0.25">
      <c r="B11" s="37"/>
      <c r="C11" s="45"/>
      <c r="D11" s="38"/>
      <c r="E11" s="37"/>
      <c r="F11" s="37"/>
      <c r="G11" s="40"/>
      <c r="H11" s="40"/>
      <c r="I11" s="40"/>
      <c r="J11" s="40"/>
      <c r="K11" s="40"/>
      <c r="L11" s="40"/>
    </row>
    <row r="12" spans="2:14" x14ac:dyDescent="0.25">
      <c r="B12" s="37" t="s">
        <v>166</v>
      </c>
      <c r="C12" s="45">
        <f>365/D12</f>
        <v>81.291759465478833</v>
      </c>
      <c r="D12" s="45">
        <v>4.49</v>
      </c>
      <c r="E12" s="38" t="s">
        <v>167</v>
      </c>
      <c r="F12" s="40"/>
      <c r="G12" s="40">
        <f>BU!D10/'Obrtna imovina'!$D$12</f>
        <v>48425.410917594658</v>
      </c>
      <c r="H12" s="40">
        <f>BU!E10/'Obrtna imovina'!$D$12</f>
        <v>50412.789389532285</v>
      </c>
      <c r="I12" s="40">
        <f>BU!F10/'Obrtna imovina'!$D$12</f>
        <v>52215.861679628055</v>
      </c>
      <c r="J12" s="40">
        <f>BU!G10/'Obrtna imovina'!$D$12</f>
        <v>54130.437023889324</v>
      </c>
      <c r="K12" s="40">
        <f>BU!H10/'Obrtna imovina'!$D$12</f>
        <v>56011.007719055087</v>
      </c>
      <c r="L12" s="40">
        <f>BU!I10/'Obrtna imovina'!$D$12</f>
        <v>57972.103146578913</v>
      </c>
    </row>
    <row r="13" spans="2:14" x14ac:dyDescent="0.25">
      <c r="B13" s="37"/>
      <c r="C13" s="45"/>
      <c r="D13" s="38"/>
      <c r="E13" s="38"/>
      <c r="F13" s="40"/>
      <c r="G13" s="40"/>
      <c r="H13" s="40"/>
      <c r="I13" s="40"/>
      <c r="J13" s="40"/>
      <c r="K13" s="40"/>
      <c r="L13" s="40"/>
    </row>
    <row r="14" spans="2:14" ht="27" x14ac:dyDescent="0.25">
      <c r="B14" s="42" t="s">
        <v>168</v>
      </c>
      <c r="C14" s="45">
        <f>365/D14</f>
        <v>3.9630836047774163</v>
      </c>
      <c r="D14" s="45">
        <v>92.1</v>
      </c>
      <c r="E14" s="38" t="s">
        <v>167</v>
      </c>
      <c r="F14" s="40"/>
      <c r="G14" s="40">
        <f>BU!D10/'Obrtna imovina'!$D$14</f>
        <v>2360.8045061889252</v>
      </c>
      <c r="H14" s="40">
        <f>BU!E10/'Obrtna imovina'!$D$14</f>
        <v>2457.6919040065145</v>
      </c>
      <c r="I14" s="40">
        <f>BU!F10/'Obrtna imovina'!$D$14</f>
        <v>2545.5941253152009</v>
      </c>
      <c r="J14" s="40">
        <f>BU!G10/'Obrtna imovina'!$D$14</f>
        <v>2638.9322718486765</v>
      </c>
      <c r="K14" s="40">
        <f>BU!H10/'Obrtna imovina'!$D$14</f>
        <v>2730.6126455869421</v>
      </c>
      <c r="L14" s="40">
        <f>BU!I10/'Obrtna imovina'!$D$14</f>
        <v>2826.2187093174739</v>
      </c>
    </row>
    <row r="15" spans="2:14" x14ac:dyDescent="0.25">
      <c r="B15" s="37"/>
      <c r="C15" s="45"/>
      <c r="D15" s="38"/>
      <c r="E15" s="37"/>
      <c r="F15" s="37"/>
      <c r="G15" s="40"/>
      <c r="H15" s="40"/>
      <c r="I15" s="40"/>
      <c r="J15" s="40"/>
      <c r="K15" s="40"/>
      <c r="L15" s="40"/>
    </row>
    <row r="16" spans="2:14" ht="27" x14ac:dyDescent="0.25">
      <c r="B16" s="42" t="s">
        <v>169</v>
      </c>
      <c r="C16" s="46">
        <f>365/D16</f>
        <v>0.99077090119435407</v>
      </c>
      <c r="D16" s="46">
        <v>368.4</v>
      </c>
      <c r="E16" s="43" t="s">
        <v>167</v>
      </c>
      <c r="F16" s="44"/>
      <c r="G16" s="44">
        <f>BU!D10/'Obrtna imovina'!$D$16</f>
        <v>590.2011265472313</v>
      </c>
      <c r="H16" s="44">
        <f>BU!E10/'Obrtna imovina'!$D$16</f>
        <v>614.42297600162863</v>
      </c>
      <c r="I16" s="44">
        <f>BU!F10/'Obrtna imovina'!$D$16</f>
        <v>636.39853132880023</v>
      </c>
      <c r="J16" s="44">
        <f>BU!G10/'Obrtna imovina'!$D$16</f>
        <v>659.73306796216912</v>
      </c>
      <c r="K16" s="44">
        <f>BU!H10/'Obrtna imovina'!$D$16</f>
        <v>682.65316139673553</v>
      </c>
      <c r="L16" s="44">
        <f>BU!I10/'Obrtna imovina'!$D$16</f>
        <v>706.55467732936847</v>
      </c>
    </row>
    <row r="17" spans="2:12" x14ac:dyDescent="0.25">
      <c r="B17" s="42"/>
      <c r="C17" s="46"/>
      <c r="D17" s="46"/>
      <c r="E17" s="43"/>
      <c r="F17" s="44"/>
      <c r="G17" s="44"/>
      <c r="H17" s="44"/>
      <c r="I17" s="44"/>
      <c r="J17" s="44"/>
      <c r="K17" s="44"/>
      <c r="L17" s="44"/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4"/>
  <sheetViews>
    <sheetView workbookViewId="0">
      <selection activeCell="D5" sqref="D5:I5"/>
    </sheetView>
  </sheetViews>
  <sheetFormatPr defaultRowHeight="13.5" x14ac:dyDescent="0.25"/>
  <cols>
    <col min="1" max="2" width="9.140625" style="1"/>
    <col min="3" max="3" width="49.28515625" style="1" bestFit="1" customWidth="1"/>
    <col min="4" max="4" width="7.42578125" style="1" bestFit="1" customWidth="1"/>
    <col min="5" max="16384" width="9.140625" style="1"/>
  </cols>
  <sheetData>
    <row r="5" spans="3:9" ht="15" x14ac:dyDescent="0.3"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2">
        <v>2020</v>
      </c>
    </row>
    <row r="7" spans="3:9" ht="15" x14ac:dyDescent="0.3">
      <c r="C7" s="2" t="s">
        <v>79</v>
      </c>
      <c r="D7" s="21">
        <f t="shared" ref="D7:I7" si="0">SUM(D8:D9)</f>
        <v>251963.50559199997</v>
      </c>
      <c r="E7" s="21">
        <f t="shared" si="0"/>
        <v>263344.856791</v>
      </c>
      <c r="F7" s="21">
        <f t="shared" si="0"/>
        <v>272685.49000774999</v>
      </c>
      <c r="G7" s="21">
        <f t="shared" si="0"/>
        <v>282913.4899399025</v>
      </c>
      <c r="H7" s="21">
        <f t="shared" si="0"/>
        <v>292789.17909197661</v>
      </c>
      <c r="I7" s="21">
        <f t="shared" si="0"/>
        <v>302724.86033103982</v>
      </c>
    </row>
    <row r="8" spans="3:9" x14ac:dyDescent="0.25">
      <c r="C8" s="1" t="s">
        <v>22</v>
      </c>
      <c r="D8" s="5">
        <f>'Poslovni prihodi'!D4</f>
        <v>11445.8</v>
      </c>
      <c r="E8" s="5">
        <f>'Poslovni prihodi'!E4</f>
        <v>12138.6</v>
      </c>
      <c r="F8" s="5">
        <f>'Poslovni prihodi'!F4</f>
        <v>12884</v>
      </c>
      <c r="G8" s="5">
        <f>'Poslovni prihodi'!G4</f>
        <v>13665</v>
      </c>
      <c r="H8" s="5">
        <f>'Poslovni prihodi'!H4</f>
        <v>14490</v>
      </c>
      <c r="I8" s="5">
        <f>'Poslovni prihodi'!I4</f>
        <v>15368.2</v>
      </c>
    </row>
    <row r="9" spans="3:9" x14ac:dyDescent="0.25">
      <c r="C9" s="1" t="s">
        <v>25</v>
      </c>
      <c r="D9" s="5">
        <f>'Poslovni prihodi'!D8</f>
        <v>240517.70559199998</v>
      </c>
      <c r="E9" s="5">
        <f>'Poslovni prihodi'!E8</f>
        <v>251206.25679100002</v>
      </c>
      <c r="F9" s="5">
        <f>'Poslovni prihodi'!F8</f>
        <v>259801.49000774999</v>
      </c>
      <c r="G9" s="5">
        <f>'Poslovni prihodi'!G8</f>
        <v>269248.4899399025</v>
      </c>
      <c r="H9" s="5">
        <f>'Poslovni prihodi'!H8</f>
        <v>278299.17909197661</v>
      </c>
      <c r="I9" s="5">
        <f>'Poslovni prihodi'!I8</f>
        <v>287356.66033103981</v>
      </c>
    </row>
    <row r="10" spans="3:9" ht="15" x14ac:dyDescent="0.3">
      <c r="C10" s="2" t="s">
        <v>80</v>
      </c>
      <c r="D10" s="21">
        <f t="shared" ref="D10:I10" si="1">SUM(D11:D15)</f>
        <v>217430.09502000001</v>
      </c>
      <c r="E10" s="21">
        <f t="shared" si="1"/>
        <v>226353.42435899997</v>
      </c>
      <c r="F10" s="21">
        <f t="shared" si="1"/>
        <v>234449.21894152998</v>
      </c>
      <c r="G10" s="21">
        <f t="shared" si="1"/>
        <v>243045.66223726308</v>
      </c>
      <c r="H10" s="21">
        <f t="shared" si="1"/>
        <v>251489.42465855734</v>
      </c>
      <c r="I10" s="21">
        <f t="shared" si="1"/>
        <v>260294.74312813932</v>
      </c>
    </row>
    <row r="11" spans="3:9" x14ac:dyDescent="0.25">
      <c r="C11" s="1" t="s">
        <v>81</v>
      </c>
      <c r="D11" s="5">
        <f>+'Poslovni rashodi'!D5</f>
        <v>10174.171619999999</v>
      </c>
      <c r="E11" s="5">
        <f>+'Poslovni rashodi'!E5</f>
        <v>10790.001540000001</v>
      </c>
      <c r="F11" s="5">
        <f>+'Poslovni rashodi'!F5</f>
        <v>11452.587600000001</v>
      </c>
      <c r="G11" s="5">
        <f>+'Poslovni rashodi'!G5</f>
        <v>12146.818500000001</v>
      </c>
      <c r="H11" s="5">
        <f>+'Poslovni rashodi'!H5</f>
        <v>12880.161</v>
      </c>
      <c r="I11" s="5">
        <f>+'Poslovni rashodi'!I5</f>
        <v>13660.79298</v>
      </c>
    </row>
    <row r="12" spans="3:9" x14ac:dyDescent="0.25">
      <c r="C12" s="1" t="s">
        <v>144</v>
      </c>
      <c r="D12" s="5">
        <f>+'Poslovni rashodi'!D6</f>
        <v>146141.14840000001</v>
      </c>
      <c r="E12" s="5">
        <f>+'Poslovni rashodi'!E6</f>
        <v>152106.79781899997</v>
      </c>
      <c r="F12" s="5">
        <f>+'Poslovni rashodi'!F6</f>
        <v>157114.41384152998</v>
      </c>
      <c r="G12" s="5">
        <f>+'Poslovni rashodi'!G6</f>
        <v>162480.50411226309</v>
      </c>
      <c r="H12" s="5">
        <f>+'Poslovni rashodi'!H6</f>
        <v>167764.24580230736</v>
      </c>
      <c r="I12" s="5">
        <f>+'Poslovni rashodi'!I6</f>
        <v>173040.42014907682</v>
      </c>
    </row>
    <row r="13" spans="3:9" ht="13.5" customHeight="1" x14ac:dyDescent="0.25">
      <c r="C13" s="1" t="s">
        <v>145</v>
      </c>
      <c r="D13" s="5">
        <f>+'Poslovni rashodi'!D25</f>
        <v>38297</v>
      </c>
      <c r="E13" s="5">
        <f>+'Poslovni rashodi'!E25</f>
        <v>40211.85</v>
      </c>
      <c r="F13" s="5">
        <f>+'Poslovni rashodi'!F25</f>
        <v>42222.442499999997</v>
      </c>
      <c r="G13" s="5">
        <f>+'Poslovni rashodi'!G25</f>
        <v>44333.564624999999</v>
      </c>
      <c r="H13" s="5">
        <f>+'Poslovni rashodi'!H25</f>
        <v>46550.242856249999</v>
      </c>
      <c r="I13" s="5">
        <f>+'Poslovni rashodi'!I25</f>
        <v>48877.754999062498</v>
      </c>
    </row>
    <row r="14" spans="3:9" x14ac:dyDescent="0.25">
      <c r="C14" s="1" t="s">
        <v>146</v>
      </c>
      <c r="D14" s="5">
        <f>+Amortizacija!C20</f>
        <v>5056.7749999999996</v>
      </c>
      <c r="E14" s="5">
        <f>+Amortizacija!D20</f>
        <v>5056.7749999999996</v>
      </c>
      <c r="F14" s="5">
        <f>+Amortizacija!E20</f>
        <v>5056.7749999999996</v>
      </c>
      <c r="G14" s="5">
        <f>+Amortizacija!F20</f>
        <v>5056.7749999999996</v>
      </c>
      <c r="H14" s="5">
        <f>+Amortizacija!G20</f>
        <v>5056.7749999999996</v>
      </c>
      <c r="I14" s="5">
        <f>+Amortizacija!H20</f>
        <v>5056.7749999999996</v>
      </c>
    </row>
    <row r="15" spans="3:9" x14ac:dyDescent="0.25">
      <c r="C15" s="1" t="s">
        <v>147</v>
      </c>
      <c r="D15" s="5">
        <f>+'Poslovni rashodi'!D27</f>
        <v>17761</v>
      </c>
      <c r="E15" s="5">
        <f>+'Poslovni rashodi'!E27</f>
        <v>18188</v>
      </c>
      <c r="F15" s="5">
        <f>+'Poslovni rashodi'!F27</f>
        <v>18603</v>
      </c>
      <c r="G15" s="5">
        <f>+'Poslovni rashodi'!G27</f>
        <v>19028</v>
      </c>
      <c r="H15" s="5">
        <f>+'Poslovni rashodi'!H27</f>
        <v>19238</v>
      </c>
      <c r="I15" s="5">
        <f>+'Poslovni rashodi'!I27</f>
        <v>19659</v>
      </c>
    </row>
    <row r="16" spans="3:9" ht="15" x14ac:dyDescent="0.3">
      <c r="C16" s="2" t="s">
        <v>148</v>
      </c>
      <c r="D16" s="21">
        <f t="shared" ref="D16:I16" si="2">+D7-D10</f>
        <v>34533.410571999964</v>
      </c>
      <c r="E16" s="21">
        <f t="shared" si="2"/>
        <v>36991.432432000031</v>
      </c>
      <c r="F16" s="21">
        <f t="shared" si="2"/>
        <v>38236.271066220012</v>
      </c>
      <c r="G16" s="21">
        <f t="shared" si="2"/>
        <v>39867.827702639421</v>
      </c>
      <c r="H16" s="21">
        <f t="shared" si="2"/>
        <v>41299.754433419264</v>
      </c>
      <c r="I16" s="21">
        <f t="shared" si="2"/>
        <v>42430.117202900496</v>
      </c>
    </row>
    <row r="17" spans="3:9" x14ac:dyDescent="0.25">
      <c r="C17" s="1" t="s">
        <v>149</v>
      </c>
      <c r="D17" s="5">
        <f>+'Finansijski prihodi'!C31</f>
        <v>210.46928511456011</v>
      </c>
      <c r="E17" s="5">
        <f>+'Finansijski prihodi'!D31</f>
        <v>341.11450204710582</v>
      </c>
      <c r="F17" s="5">
        <f>+'Finansijski prihodi'!E31</f>
        <v>327.75911435063045</v>
      </c>
      <c r="G17" s="5">
        <f>+'Finansijski prihodi'!F31</f>
        <v>314.10387164340989</v>
      </c>
      <c r="H17" s="5">
        <f>+'Finansijski prihodi'!G31</f>
        <v>300.13810899638634</v>
      </c>
      <c r="I17" s="5">
        <f>+'Finansijski prihodi'!H31</f>
        <v>286.3221457114721</v>
      </c>
    </row>
    <row r="18" spans="3:9" x14ac:dyDescent="0.25">
      <c r="C18" s="1" t="s">
        <v>150</v>
      </c>
      <c r="D18" s="5">
        <f>+'Finansijski rashodi'!D6</f>
        <v>647.79850583204495</v>
      </c>
      <c r="E18" s="5">
        <f>+'Finansijski rashodi'!E6</f>
        <v>518.5119485767907</v>
      </c>
      <c r="F18" s="5">
        <f>+'Finansijski rashodi'!F6</f>
        <v>329.88010075600454</v>
      </c>
      <c r="G18" s="5">
        <f>+'Finansijski rashodi'!G6</f>
        <v>224.92373839405423</v>
      </c>
      <c r="H18" s="5">
        <f>+'Finansijski rashodi'!H6</f>
        <v>130.4178351262623</v>
      </c>
      <c r="I18" s="5">
        <f>+'Finansijski rashodi'!I6</f>
        <v>36.01986808147042</v>
      </c>
    </row>
    <row r="19" spans="3:9" x14ac:dyDescent="0.25">
      <c r="C19" s="1" t="s">
        <v>151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3:9" x14ac:dyDescent="0.25">
      <c r="C20" s="1" t="s">
        <v>152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3:9" ht="15" x14ac:dyDescent="0.3">
      <c r="C21" s="2" t="s">
        <v>153</v>
      </c>
      <c r="D21" s="21">
        <f t="shared" ref="D21:I21" si="3">+D16+D17+D19-D18-D20</f>
        <v>34096.081351282475</v>
      </c>
      <c r="E21" s="21">
        <f t="shared" si="3"/>
        <v>36814.034985470345</v>
      </c>
      <c r="F21" s="21">
        <f t="shared" si="3"/>
        <v>38234.150079814637</v>
      </c>
      <c r="G21" s="21">
        <f t="shared" si="3"/>
        <v>39957.007835888777</v>
      </c>
      <c r="H21" s="21">
        <f t="shared" si="3"/>
        <v>41469.474707289388</v>
      </c>
      <c r="I21" s="21">
        <f t="shared" si="3"/>
        <v>42680.419480530494</v>
      </c>
    </row>
    <row r="22" spans="3:9" x14ac:dyDescent="0.25">
      <c r="C22" s="1" t="s">
        <v>154</v>
      </c>
      <c r="D22" s="5">
        <f t="shared" ref="D22:I22" si="4">+D21*0.1</f>
        <v>3409.6081351282478</v>
      </c>
      <c r="E22" s="5">
        <f t="shared" si="4"/>
        <v>3681.4034985470348</v>
      </c>
      <c r="F22" s="5">
        <f t="shared" si="4"/>
        <v>3823.415007981464</v>
      </c>
      <c r="G22" s="5">
        <f t="shared" si="4"/>
        <v>3995.700783588878</v>
      </c>
      <c r="H22" s="5">
        <f t="shared" si="4"/>
        <v>4146.9474707289392</v>
      </c>
      <c r="I22" s="5">
        <f t="shared" si="4"/>
        <v>4268.04194805305</v>
      </c>
    </row>
    <row r="23" spans="3:9" ht="15.75" thickBot="1" x14ac:dyDescent="0.35">
      <c r="C23" s="23" t="s">
        <v>155</v>
      </c>
      <c r="D23" s="24">
        <f t="shared" ref="D23:I23" si="5">+D21-D22</f>
        <v>30686.473216154227</v>
      </c>
      <c r="E23" s="24">
        <f t="shared" si="5"/>
        <v>33132.63148692331</v>
      </c>
      <c r="F23" s="24">
        <f t="shared" si="5"/>
        <v>34410.735071833173</v>
      </c>
      <c r="G23" s="24">
        <f t="shared" si="5"/>
        <v>35961.307052299897</v>
      </c>
      <c r="H23" s="24">
        <f t="shared" si="5"/>
        <v>37322.527236560447</v>
      </c>
      <c r="I23" s="24">
        <f t="shared" si="5"/>
        <v>38412.377532477447</v>
      </c>
    </row>
    <row r="24" spans="3:9" ht="14.25" thickTop="1" x14ac:dyDescent="0.25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50"/>
  <sheetViews>
    <sheetView workbookViewId="0">
      <selection activeCell="D2" sqref="D2:I2"/>
    </sheetView>
  </sheetViews>
  <sheetFormatPr defaultRowHeight="13.5" x14ac:dyDescent="0.25"/>
  <cols>
    <col min="1" max="1" width="9.140625" style="1"/>
    <col min="2" max="2" width="46.85546875" style="1" bestFit="1" customWidth="1"/>
    <col min="3" max="16384" width="9.140625" style="1"/>
  </cols>
  <sheetData>
    <row r="2" spans="2:9" ht="15" x14ac:dyDescent="0.3">
      <c r="C2" s="2">
        <v>2014</v>
      </c>
      <c r="D2" s="2">
        <v>2015</v>
      </c>
      <c r="E2" s="2">
        <v>2016</v>
      </c>
      <c r="F2" s="2">
        <v>2017</v>
      </c>
      <c r="G2" s="2">
        <v>2018</v>
      </c>
      <c r="H2" s="2">
        <v>2019</v>
      </c>
      <c r="I2" s="2">
        <v>2020</v>
      </c>
    </row>
    <row r="3" spans="2:9" x14ac:dyDescent="0.25">
      <c r="B3" s="1" t="s">
        <v>92</v>
      </c>
    </row>
    <row r="4" spans="2:9" ht="15" x14ac:dyDescent="0.3">
      <c r="B4" s="2" t="s">
        <v>93</v>
      </c>
      <c r="C4" s="21">
        <f>+C5+C6+C7+C8+C12</f>
        <v>75394</v>
      </c>
      <c r="D4" s="21">
        <f t="shared" ref="D4:I4" si="0">+D5+D6+D7+D8+D12</f>
        <v>74237</v>
      </c>
      <c r="E4" s="21">
        <f t="shared" si="0"/>
        <v>73859</v>
      </c>
      <c r="F4" s="21">
        <f t="shared" si="0"/>
        <v>73473</v>
      </c>
      <c r="G4" s="21">
        <f t="shared" si="0"/>
        <v>73078</v>
      </c>
      <c r="H4" s="21">
        <f t="shared" si="0"/>
        <v>72674</v>
      </c>
      <c r="I4" s="21">
        <f t="shared" si="0"/>
        <v>72188</v>
      </c>
    </row>
    <row r="5" spans="2:9" x14ac:dyDescent="0.25">
      <c r="B5" s="1" t="s">
        <v>94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</row>
    <row r="6" spans="2:9" x14ac:dyDescent="0.25">
      <c r="B6" s="1" t="s">
        <v>95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2:9" x14ac:dyDescent="0.25">
      <c r="B7" s="1" t="s">
        <v>96</v>
      </c>
      <c r="C7" s="5">
        <v>58</v>
      </c>
      <c r="D7" s="5">
        <v>274</v>
      </c>
      <c r="E7" s="5">
        <v>274</v>
      </c>
      <c r="F7" s="5">
        <v>274</v>
      </c>
      <c r="G7" s="5">
        <v>274</v>
      </c>
      <c r="H7" s="5">
        <v>274</v>
      </c>
      <c r="I7" s="5">
        <v>274</v>
      </c>
    </row>
    <row r="8" spans="2:9" x14ac:dyDescent="0.25">
      <c r="B8" s="1" t="s">
        <v>97</v>
      </c>
      <c r="C8" s="3">
        <f>SUM(C9:C11)</f>
        <v>63076</v>
      </c>
      <c r="D8" s="3">
        <f t="shared" ref="D8:I8" si="1">SUM(D9:D11)</f>
        <v>63076</v>
      </c>
      <c r="E8" s="3">
        <f t="shared" si="1"/>
        <v>63076</v>
      </c>
      <c r="F8" s="3">
        <f t="shared" si="1"/>
        <v>63076</v>
      </c>
      <c r="G8" s="3">
        <f t="shared" si="1"/>
        <v>63076</v>
      </c>
      <c r="H8" s="3">
        <f t="shared" si="1"/>
        <v>63076</v>
      </c>
      <c r="I8" s="3">
        <f t="shared" si="1"/>
        <v>63076</v>
      </c>
    </row>
    <row r="9" spans="2:9" x14ac:dyDescent="0.25">
      <c r="B9" s="1" t="s">
        <v>101</v>
      </c>
      <c r="C9" s="5">
        <v>63076</v>
      </c>
      <c r="D9" s="5">
        <f>Amortizacija!C23</f>
        <v>63076</v>
      </c>
      <c r="E9" s="5">
        <f>Amortizacija!D23</f>
        <v>63076</v>
      </c>
      <c r="F9" s="5">
        <f>Amortizacija!E23</f>
        <v>63076</v>
      </c>
      <c r="G9" s="5">
        <f>Amortizacija!F23</f>
        <v>63076</v>
      </c>
      <c r="H9" s="5">
        <f>Amortizacija!G23</f>
        <v>63076</v>
      </c>
      <c r="I9" s="5">
        <f>Amortizacija!H23</f>
        <v>63076</v>
      </c>
    </row>
    <row r="10" spans="2:9" x14ac:dyDescent="0.25">
      <c r="B10" s="1" t="s">
        <v>102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2:9" x14ac:dyDescent="0.25">
      <c r="B11" s="1" t="s">
        <v>103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x14ac:dyDescent="0.25">
      <c r="B12" s="1" t="s">
        <v>98</v>
      </c>
      <c r="C12" s="3">
        <f>SUM(C13:C14)</f>
        <v>12260</v>
      </c>
      <c r="D12" s="3">
        <f t="shared" ref="D12:I12" si="2">SUM(D13:D14)</f>
        <v>10887</v>
      </c>
      <c r="E12" s="3">
        <f t="shared" si="2"/>
        <v>10509</v>
      </c>
      <c r="F12" s="3">
        <f t="shared" si="2"/>
        <v>10123</v>
      </c>
      <c r="G12" s="3">
        <f t="shared" si="2"/>
        <v>9728</v>
      </c>
      <c r="H12" s="3">
        <f t="shared" si="2"/>
        <v>9324</v>
      </c>
      <c r="I12" s="3">
        <f t="shared" si="2"/>
        <v>8838</v>
      </c>
    </row>
    <row r="13" spans="2:9" x14ac:dyDescent="0.25">
      <c r="B13" s="1" t="s">
        <v>99</v>
      </c>
      <c r="C13" s="5">
        <v>2124</v>
      </c>
      <c r="D13" s="5">
        <v>2124</v>
      </c>
      <c r="E13" s="5">
        <v>2124</v>
      </c>
      <c r="F13" s="5">
        <v>2124</v>
      </c>
      <c r="G13" s="5">
        <v>2124</v>
      </c>
      <c r="H13" s="5">
        <v>2124</v>
      </c>
      <c r="I13" s="5">
        <v>2124</v>
      </c>
    </row>
    <row r="14" spans="2:9" x14ac:dyDescent="0.25">
      <c r="B14" s="1" t="s">
        <v>100</v>
      </c>
      <c r="C14" s="5">
        <v>10136</v>
      </c>
      <c r="D14" s="5">
        <f>+'Dugorocni finansijski plasmani'!D5</f>
        <v>8763</v>
      </c>
      <c r="E14" s="5">
        <f>+'Dugorocni finansijski plasmani'!E5</f>
        <v>8385</v>
      </c>
      <c r="F14" s="5">
        <f>+'Dugorocni finansijski plasmani'!F5</f>
        <v>7999</v>
      </c>
      <c r="G14" s="5">
        <f>+'Dugorocni finansijski plasmani'!G5</f>
        <v>7604</v>
      </c>
      <c r="H14" s="5">
        <f>+'Dugorocni finansijski plasmani'!H5</f>
        <v>7200</v>
      </c>
      <c r="I14" s="5">
        <f>+'Dugorocni finansijski plasmani'!I5</f>
        <v>6714</v>
      </c>
    </row>
    <row r="15" spans="2:9" ht="15" x14ac:dyDescent="0.3">
      <c r="B15" s="2" t="s">
        <v>104</v>
      </c>
      <c r="C15" s="21">
        <f>+C16+C17+C23</f>
        <v>79797</v>
      </c>
      <c r="D15" s="21">
        <f t="shared" ref="D15:I15" si="3">+D16+D17+D23</f>
        <v>122024.93028648505</v>
      </c>
      <c r="E15" s="21">
        <f t="shared" si="3"/>
        <v>152644.4705349438</v>
      </c>
      <c r="F15" s="21">
        <f t="shared" si="3"/>
        <v>185840.27449247861</v>
      </c>
      <c r="G15" s="21">
        <f t="shared" si="3"/>
        <v>221037.02782821158</v>
      </c>
      <c r="H15" s="21">
        <f t="shared" si="3"/>
        <v>257647.30614223689</v>
      </c>
      <c r="I15" s="21">
        <f t="shared" si="3"/>
        <v>296230.92810998281</v>
      </c>
    </row>
    <row r="16" spans="2:9" x14ac:dyDescent="0.25">
      <c r="B16" s="1" t="s">
        <v>105</v>
      </c>
      <c r="C16" s="5">
        <v>23329</v>
      </c>
      <c r="D16" s="5">
        <f>'Obrtna imovina'!G6</f>
        <v>16790.045114930184</v>
      </c>
      <c r="E16" s="5">
        <f>'Obrtna imovina'!H6</f>
        <v>17496.970930075182</v>
      </c>
      <c r="F16" s="5">
        <f>'Obrtna imovina'!I6</f>
        <v>18106.015192430717</v>
      </c>
      <c r="G16" s="5">
        <f>'Obrtna imovina'!J6</f>
        <v>18756.962686601833</v>
      </c>
      <c r="H16" s="5">
        <f>'Obrtna imovina'!K6</f>
        <v>19403.266036767705</v>
      </c>
      <c r="I16" s="5">
        <f>'Obrtna imovina'!L6</f>
        <v>20053.835996678496</v>
      </c>
    </row>
    <row r="17" spans="2:9" x14ac:dyDescent="0.25">
      <c r="B17" s="1" t="s">
        <v>106</v>
      </c>
      <c r="C17" s="3">
        <f>SUM(C18:C22)</f>
        <v>56468</v>
      </c>
      <c r="D17" s="3">
        <f t="shared" ref="D17:I17" si="4">SUM(D18:D22)</f>
        <v>105234.88517155487</v>
      </c>
      <c r="E17" s="3">
        <f t="shared" si="4"/>
        <v>135147.49960486862</v>
      </c>
      <c r="F17" s="3">
        <f t="shared" si="4"/>
        <v>167734.25930004788</v>
      </c>
      <c r="G17" s="3">
        <f t="shared" si="4"/>
        <v>202280.06514160975</v>
      </c>
      <c r="H17" s="3">
        <f t="shared" si="4"/>
        <v>238244.04010546918</v>
      </c>
      <c r="I17" s="3">
        <f t="shared" si="4"/>
        <v>276177.0921133043</v>
      </c>
    </row>
    <row r="18" spans="2:9" x14ac:dyDescent="0.25">
      <c r="B18" s="1" t="s">
        <v>107</v>
      </c>
      <c r="C18" s="5">
        <v>47837</v>
      </c>
      <c r="D18" s="5">
        <f>'Obrtna imovina'!G8</f>
        <v>41418.660722995104</v>
      </c>
      <c r="E18" s="5">
        <f>'Obrtna imovina'!H8</f>
        <v>43289.567871921528</v>
      </c>
      <c r="F18" s="5">
        <f>'Obrtna imovina'!I8</f>
        <v>44825.014512233676</v>
      </c>
      <c r="G18" s="5">
        <f>'Obrtna imovina'!J8</f>
        <v>46506.329661700671</v>
      </c>
      <c r="H18" s="5">
        <f>'Obrtna imovina'!K8</f>
        <v>48129.730707159484</v>
      </c>
      <c r="I18" s="5">
        <f>'Obrtna imovina'!L8</f>
        <v>49762.993466088381</v>
      </c>
    </row>
    <row r="19" spans="2:9" x14ac:dyDescent="0.25">
      <c r="B19" s="1" t="s">
        <v>108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x14ac:dyDescent="0.25">
      <c r="B20" s="1" t="s">
        <v>109</v>
      </c>
      <c r="C20" s="5">
        <v>0</v>
      </c>
      <c r="D20" s="5">
        <v>8055</v>
      </c>
      <c r="E20" s="5">
        <v>8055</v>
      </c>
      <c r="F20" s="5">
        <v>8055</v>
      </c>
      <c r="G20" s="5">
        <v>8055</v>
      </c>
      <c r="H20" s="5">
        <v>8055</v>
      </c>
      <c r="I20" s="5">
        <v>8055</v>
      </c>
    </row>
    <row r="21" spans="2:9" x14ac:dyDescent="0.25">
      <c r="B21" s="1" t="s">
        <v>110</v>
      </c>
      <c r="C21" s="5">
        <v>7909</v>
      </c>
      <c r="D21" s="5">
        <f>+NT!D40</f>
        <v>55047.679932983432</v>
      </c>
      <c r="E21" s="5">
        <f>+NT!E40</f>
        <v>83060.659231885453</v>
      </c>
      <c r="F21" s="5">
        <f>+NT!F40</f>
        <v>114087.02884486645</v>
      </c>
      <c r="G21" s="5">
        <f>+NT!G40</f>
        <v>146924.9359938775</v>
      </c>
      <c r="H21" s="5">
        <f>+NT!H40</f>
        <v>181239.98489100396</v>
      </c>
      <c r="I21" s="5">
        <f>+NT!I40</f>
        <v>217513.22140041695</v>
      </c>
    </row>
    <row r="22" spans="2:9" x14ac:dyDescent="0.25">
      <c r="B22" s="1" t="s">
        <v>111</v>
      </c>
      <c r="C22" s="5">
        <v>722</v>
      </c>
      <c r="D22" s="5">
        <f>'Obrtna imovina'!G10</f>
        <v>713.54451557632399</v>
      </c>
      <c r="E22" s="5">
        <f>'Obrtna imovina'!H10</f>
        <v>742.27250106164934</v>
      </c>
      <c r="F22" s="5">
        <f>'Obrtna imovina'!I10</f>
        <v>767.21594294773718</v>
      </c>
      <c r="G22" s="5">
        <f>'Obrtna imovina'!J10</f>
        <v>793.79948603157516</v>
      </c>
      <c r="H22" s="5">
        <f>'Obrtna imovina'!K10</f>
        <v>819.32450730573601</v>
      </c>
      <c r="I22" s="5">
        <f>'Obrtna imovina'!L10</f>
        <v>845.8772467989703</v>
      </c>
    </row>
    <row r="23" spans="2:9" x14ac:dyDescent="0.25">
      <c r="B23" s="1" t="s">
        <v>112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ht="15.75" thickBot="1" x14ac:dyDescent="0.35">
      <c r="B24" s="33" t="s">
        <v>113</v>
      </c>
      <c r="C24" s="24">
        <f>+C4+C15</f>
        <v>155191</v>
      </c>
      <c r="D24" s="24">
        <f t="shared" ref="D24:I24" si="5">+D4+D15</f>
        <v>196261.93028648506</v>
      </c>
      <c r="E24" s="24">
        <f t="shared" si="5"/>
        <v>226503.4705349438</v>
      </c>
      <c r="F24" s="24">
        <f t="shared" si="5"/>
        <v>259313.27449247861</v>
      </c>
      <c r="G24" s="24">
        <f t="shared" si="5"/>
        <v>294115.02782821155</v>
      </c>
      <c r="H24" s="24">
        <f t="shared" si="5"/>
        <v>330321.30614223692</v>
      </c>
      <c r="I24" s="24">
        <f t="shared" si="5"/>
        <v>368418.92810998281</v>
      </c>
    </row>
    <row r="25" spans="2:9" ht="14.25" thickTop="1" x14ac:dyDescent="0.25"/>
    <row r="27" spans="2:9" x14ac:dyDescent="0.25">
      <c r="B27" s="1" t="s">
        <v>114</v>
      </c>
    </row>
    <row r="28" spans="2:9" ht="15" x14ac:dyDescent="0.3">
      <c r="B28" s="2" t="s">
        <v>115</v>
      </c>
      <c r="C28" s="21">
        <f>SUM(C29:C35)</f>
        <v>96967</v>
      </c>
      <c r="D28" s="21">
        <f t="shared" ref="D28:I28" si="6">SUM(D29:D35)</f>
        <v>127653.47321615423</v>
      </c>
      <c r="E28" s="21">
        <f t="shared" si="6"/>
        <v>160786.10470307755</v>
      </c>
      <c r="F28" s="21">
        <f t="shared" si="6"/>
        <v>195196.83977491071</v>
      </c>
      <c r="G28" s="21">
        <f t="shared" si="6"/>
        <v>231158.14682721061</v>
      </c>
      <c r="H28" s="21">
        <f t="shared" si="6"/>
        <v>268480.67406377103</v>
      </c>
      <c r="I28" s="21">
        <f t="shared" si="6"/>
        <v>306893.05159624852</v>
      </c>
    </row>
    <row r="29" spans="2:9" x14ac:dyDescent="0.25">
      <c r="B29" s="1" t="s">
        <v>116</v>
      </c>
      <c r="C29" s="5">
        <v>31288</v>
      </c>
      <c r="D29" s="5">
        <v>31288</v>
      </c>
      <c r="E29" s="5">
        <v>31288</v>
      </c>
      <c r="F29" s="5">
        <v>31288</v>
      </c>
      <c r="G29" s="5">
        <v>31288</v>
      </c>
      <c r="H29" s="5">
        <v>31288</v>
      </c>
      <c r="I29" s="5">
        <v>31288</v>
      </c>
    </row>
    <row r="30" spans="2:9" x14ac:dyDescent="0.25">
      <c r="B30" s="1" t="s">
        <v>117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2:9" x14ac:dyDescent="0.25">
      <c r="B31" s="1" t="s">
        <v>118</v>
      </c>
      <c r="C31" s="5">
        <v>410</v>
      </c>
      <c r="D31" s="5">
        <v>410</v>
      </c>
      <c r="E31" s="5">
        <v>410</v>
      </c>
      <c r="F31" s="5">
        <v>410</v>
      </c>
      <c r="G31" s="5">
        <v>410</v>
      </c>
      <c r="H31" s="5">
        <v>410</v>
      </c>
      <c r="I31" s="5">
        <v>410</v>
      </c>
    </row>
    <row r="32" spans="2:9" x14ac:dyDescent="0.25">
      <c r="B32" s="1" t="s">
        <v>119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2:9" x14ac:dyDescent="0.25">
      <c r="B33" s="1" t="s">
        <v>120</v>
      </c>
      <c r="C33" s="5">
        <v>65269</v>
      </c>
      <c r="D33" s="5">
        <f>+C33+BU!D23</f>
        <v>95955.473216154234</v>
      </c>
      <c r="E33" s="5">
        <f>+D33+BU!E23</f>
        <v>129088.10470307755</v>
      </c>
      <c r="F33" s="5">
        <f>+E33+BU!F23</f>
        <v>163498.83977491071</v>
      </c>
      <c r="G33" s="5">
        <f>+F33+BU!G23</f>
        <v>199460.14682721061</v>
      </c>
      <c r="H33" s="5">
        <f>+G33+BU!H23</f>
        <v>236782.67406377106</v>
      </c>
      <c r="I33" s="5">
        <f>+H33+BU!I23</f>
        <v>275195.05159624852</v>
      </c>
    </row>
    <row r="34" spans="2:9" x14ac:dyDescent="0.25">
      <c r="B34" s="1" t="s">
        <v>121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2:9" x14ac:dyDescent="0.25">
      <c r="B35" s="1" t="s">
        <v>122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2:9" ht="15" x14ac:dyDescent="0.3">
      <c r="B36" s="2" t="s">
        <v>123</v>
      </c>
      <c r="C36" s="21">
        <f>+C37+C38+C41+C47</f>
        <v>58224</v>
      </c>
      <c r="D36" s="21">
        <f t="shared" ref="D36:I36" si="7">+D37+D38+D41+D47</f>
        <v>68608.457070330813</v>
      </c>
      <c r="E36" s="21">
        <f t="shared" si="7"/>
        <v>65717.365831866264</v>
      </c>
      <c r="F36" s="21">
        <f t="shared" si="7"/>
        <v>64116.434717567863</v>
      </c>
      <c r="G36" s="21">
        <f t="shared" si="7"/>
        <v>62956.881001000969</v>
      </c>
      <c r="H36" s="21">
        <f t="shared" si="7"/>
        <v>61840.632078465838</v>
      </c>
      <c r="I36" s="21">
        <f t="shared" si="7"/>
        <v>61525.876513734293</v>
      </c>
    </row>
    <row r="37" spans="2:9" x14ac:dyDescent="0.25">
      <c r="B37" s="1" t="s">
        <v>124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2:9" x14ac:dyDescent="0.25">
      <c r="B38" s="1" t="s">
        <v>125</v>
      </c>
      <c r="C38" s="3">
        <f>SUM(C39:C40)</f>
        <v>13094</v>
      </c>
      <c r="D38" s="3">
        <f t="shared" ref="D38:I38" si="8">SUM(D39:D40)</f>
        <v>17211.040519999999</v>
      </c>
      <c r="E38" s="3">
        <f t="shared" si="8"/>
        <v>12211.461562325834</v>
      </c>
      <c r="F38" s="3">
        <f t="shared" si="8"/>
        <v>8697.5803812958111</v>
      </c>
      <c r="G38" s="3">
        <f t="shared" si="8"/>
        <v>5506.7786373008057</v>
      </c>
      <c r="H38" s="3">
        <f t="shared" si="8"/>
        <v>2395.3585524270688</v>
      </c>
      <c r="I38" s="3">
        <f t="shared" si="8"/>
        <v>-1.9491460756398737E-5</v>
      </c>
    </row>
    <row r="39" spans="2:9" x14ac:dyDescent="0.25">
      <c r="B39" s="1" t="s">
        <v>126</v>
      </c>
      <c r="C39" s="5">
        <v>9418</v>
      </c>
      <c r="D39" s="5">
        <f>+'Dugorocne obaveze'!D5</f>
        <v>14302.040519999999</v>
      </c>
      <c r="E39" s="5">
        <f>+'Dugorocne obaveze'!E5</f>
        <v>11457.461562325834</v>
      </c>
      <c r="F39" s="5">
        <f>+'Dugorocne obaveze'!F5</f>
        <v>8526.5803812958111</v>
      </c>
      <c r="G39" s="5">
        <f>+'Dugorocne obaveze'!G5</f>
        <v>5506.7786373008057</v>
      </c>
      <c r="H39" s="5">
        <f>+'Dugorocne obaveze'!H5</f>
        <v>2395.3585524270688</v>
      </c>
      <c r="I39" s="5">
        <f>+'Dugorocne obaveze'!I5</f>
        <v>-1.9491460756398737E-5</v>
      </c>
    </row>
    <row r="40" spans="2:9" x14ac:dyDescent="0.25">
      <c r="B40" s="1" t="s">
        <v>127</v>
      </c>
      <c r="C40" s="5">
        <v>3676</v>
      </c>
      <c r="D40" s="5">
        <f>+'Dugorocne obaveze'!D6</f>
        <v>2909</v>
      </c>
      <c r="E40" s="5">
        <f>+'Dugorocne obaveze'!E6</f>
        <v>754</v>
      </c>
      <c r="F40" s="5">
        <f>+'Dugorocne obaveze'!F6</f>
        <v>171</v>
      </c>
      <c r="G40" s="5">
        <f>+'Dugorocne obaveze'!G6</f>
        <v>0</v>
      </c>
      <c r="H40" s="5">
        <f>+'Dugorocne obaveze'!H6</f>
        <v>0</v>
      </c>
      <c r="I40" s="5">
        <f>+'Dugorocne obaveze'!I6</f>
        <v>0</v>
      </c>
    </row>
    <row r="41" spans="2:9" x14ac:dyDescent="0.25">
      <c r="B41" s="1" t="s">
        <v>128</v>
      </c>
      <c r="C41" s="3">
        <f>SUM(C42:C46)</f>
        <v>45109</v>
      </c>
      <c r="D41" s="3">
        <f t="shared" ref="D41:I41" si="9">SUM(D42:D46)</f>
        <v>51376.416550330818</v>
      </c>
      <c r="E41" s="3">
        <f t="shared" si="9"/>
        <v>53484.904269540428</v>
      </c>
      <c r="F41" s="3">
        <f t="shared" si="9"/>
        <v>55397.854336272052</v>
      </c>
      <c r="G41" s="3">
        <f t="shared" si="9"/>
        <v>57429.102363700164</v>
      </c>
      <c r="H41" s="3">
        <f t="shared" si="9"/>
        <v>59424.273526038771</v>
      </c>
      <c r="I41" s="3">
        <f t="shared" si="9"/>
        <v>61504.876533225754</v>
      </c>
    </row>
    <row r="42" spans="2:9" x14ac:dyDescent="0.25">
      <c r="B42" s="1" t="s">
        <v>129</v>
      </c>
      <c r="C42" s="5">
        <v>2054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2:9" x14ac:dyDescent="0.25">
      <c r="B43" s="1" t="s">
        <v>130</v>
      </c>
      <c r="C43" s="5">
        <v>39831</v>
      </c>
      <c r="D43" s="5">
        <f>'Obrtna imovina'!G12</f>
        <v>48425.410917594658</v>
      </c>
      <c r="E43" s="5">
        <f>'Obrtna imovina'!H12</f>
        <v>50412.789389532285</v>
      </c>
      <c r="F43" s="5">
        <f>'Obrtna imovina'!I12</f>
        <v>52215.861679628055</v>
      </c>
      <c r="G43" s="5">
        <f>'Obrtna imovina'!J12</f>
        <v>54130.437023889324</v>
      </c>
      <c r="H43" s="5">
        <f>'Obrtna imovina'!K12</f>
        <v>56011.007719055087</v>
      </c>
      <c r="I43" s="5">
        <f>'Obrtna imovina'!L12</f>
        <v>57972.103146578913</v>
      </c>
    </row>
    <row r="44" spans="2:9" x14ac:dyDescent="0.25">
      <c r="B44" s="1" t="s">
        <v>131</v>
      </c>
      <c r="C44" s="5">
        <v>2570</v>
      </c>
      <c r="D44" s="5">
        <f>'Obrtna imovina'!G14</f>
        <v>2360.8045061889252</v>
      </c>
      <c r="E44" s="5">
        <f>'Obrtna imovina'!H14</f>
        <v>2457.6919040065145</v>
      </c>
      <c r="F44" s="5">
        <f>'Obrtna imovina'!I14</f>
        <v>2545.5941253152009</v>
      </c>
      <c r="G44" s="5">
        <f>'Obrtna imovina'!J14</f>
        <v>2638.9322718486765</v>
      </c>
      <c r="H44" s="5">
        <f>'Obrtna imovina'!K14</f>
        <v>2730.6126455869421</v>
      </c>
      <c r="I44" s="5">
        <f>'Obrtna imovina'!L14</f>
        <v>2826.2187093174739</v>
      </c>
    </row>
    <row r="45" spans="2:9" x14ac:dyDescent="0.25">
      <c r="B45" s="1" t="s">
        <v>132</v>
      </c>
      <c r="C45" s="5">
        <v>321</v>
      </c>
      <c r="D45" s="5">
        <f>'Obrtna imovina'!G16</f>
        <v>590.2011265472313</v>
      </c>
      <c r="E45" s="5">
        <f>'Obrtna imovina'!H16</f>
        <v>614.42297600162863</v>
      </c>
      <c r="F45" s="5">
        <f>'Obrtna imovina'!I16</f>
        <v>636.39853132880023</v>
      </c>
      <c r="G45" s="5">
        <f>'Obrtna imovina'!J16</f>
        <v>659.73306796216912</v>
      </c>
      <c r="H45" s="5">
        <f>'Obrtna imovina'!K16</f>
        <v>682.65316139673553</v>
      </c>
      <c r="I45" s="5">
        <f>'Obrtna imovina'!L16</f>
        <v>706.55467732936847</v>
      </c>
    </row>
    <row r="46" spans="2:9" x14ac:dyDescent="0.25">
      <c r="B46" s="1" t="s">
        <v>133</v>
      </c>
      <c r="C46" s="5">
        <v>333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2:9" x14ac:dyDescent="0.25">
      <c r="B47" s="1" t="s">
        <v>134</v>
      </c>
      <c r="C47" s="5">
        <v>21</v>
      </c>
      <c r="D47" s="5">
        <v>21</v>
      </c>
      <c r="E47" s="5">
        <v>21</v>
      </c>
      <c r="F47" s="5">
        <v>21</v>
      </c>
      <c r="G47" s="5">
        <v>21</v>
      </c>
      <c r="H47" s="5">
        <v>21</v>
      </c>
      <c r="I47" s="5">
        <v>21</v>
      </c>
    </row>
    <row r="48" spans="2:9" ht="15.75" thickBot="1" x14ac:dyDescent="0.35">
      <c r="B48" s="23" t="s">
        <v>135</v>
      </c>
      <c r="C48" s="24">
        <f>+C28+C36</f>
        <v>155191</v>
      </c>
      <c r="D48" s="24">
        <f t="shared" ref="D48:I48" si="10">+D28+D36</f>
        <v>196261.93028648506</v>
      </c>
      <c r="E48" s="24">
        <f t="shared" si="10"/>
        <v>226503.4705349438</v>
      </c>
      <c r="F48" s="24">
        <f t="shared" si="10"/>
        <v>259313.27449247858</v>
      </c>
      <c r="G48" s="24">
        <f t="shared" si="10"/>
        <v>294115.02782821161</v>
      </c>
      <c r="H48" s="24">
        <f t="shared" si="10"/>
        <v>330321.30614223686</v>
      </c>
      <c r="I48" s="24">
        <f t="shared" si="10"/>
        <v>368418.92810998281</v>
      </c>
    </row>
    <row r="49" spans="3:9" ht="14.25" thickTop="1" x14ac:dyDescent="0.25"/>
    <row r="50" spans="3:9" x14ac:dyDescent="0.25">
      <c r="C50" s="5">
        <f>+C24-C48</f>
        <v>0</v>
      </c>
      <c r="D50" s="5">
        <f t="shared" ref="D50:I50" si="11">+D24-D48</f>
        <v>0</v>
      </c>
      <c r="E50" s="5">
        <f t="shared" si="11"/>
        <v>0</v>
      </c>
      <c r="F50" s="5">
        <f t="shared" si="11"/>
        <v>0</v>
      </c>
      <c r="G50" s="5">
        <f t="shared" si="11"/>
        <v>0</v>
      </c>
      <c r="H50" s="5">
        <f t="shared" si="11"/>
        <v>0</v>
      </c>
      <c r="I50" s="5">
        <f t="shared" si="11"/>
        <v>0</v>
      </c>
    </row>
  </sheetData>
  <phoneticPr fontId="2" type="noConversion"/>
  <pageMargins left="0.75" right="0.75" top="1" bottom="1" header="0.5" footer="0.5"/>
  <headerFooter alignWithMargins="0"/>
  <ignoredErrors>
    <ignoredError sqref="C17 C41" formulaRange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40"/>
  <sheetViews>
    <sheetView tabSelected="1" workbookViewId="0">
      <selection activeCell="C1" sqref="C1"/>
    </sheetView>
  </sheetViews>
  <sheetFormatPr defaultRowHeight="13.5" x14ac:dyDescent="0.25"/>
  <cols>
    <col min="1" max="2" width="9.140625" style="65"/>
    <col min="3" max="3" width="73.85546875" style="65" bestFit="1" customWidth="1"/>
    <col min="4" max="16384" width="9.140625" style="65"/>
  </cols>
  <sheetData>
    <row r="5" spans="3:9" ht="15" x14ac:dyDescent="0.3"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2">
        <v>2020</v>
      </c>
    </row>
    <row r="6" spans="3:9" ht="15" x14ac:dyDescent="0.3">
      <c r="C6" s="67" t="s">
        <v>245</v>
      </c>
    </row>
    <row r="7" spans="3:9" x14ac:dyDescent="0.25">
      <c r="C7" s="65" t="s">
        <v>246</v>
      </c>
      <c r="D7" s="66">
        <f>+BU!D16</f>
        <v>34533.410571999964</v>
      </c>
      <c r="E7" s="66">
        <f>+BU!E16</f>
        <v>36991.432432000031</v>
      </c>
      <c r="F7" s="66">
        <f>+BU!F16</f>
        <v>38236.271066220012</v>
      </c>
      <c r="G7" s="66">
        <f>+BU!G16</f>
        <v>39867.827702639421</v>
      </c>
      <c r="H7" s="66">
        <f>+BU!H16</f>
        <v>41299.754433419264</v>
      </c>
      <c r="I7" s="66">
        <f>+BU!I16</f>
        <v>42430.117202900496</v>
      </c>
    </row>
    <row r="8" spans="3:9" x14ac:dyDescent="0.25">
      <c r="C8" s="65" t="s">
        <v>247</v>
      </c>
      <c r="D8" s="66">
        <f>+BU!D14</f>
        <v>5056.7749999999996</v>
      </c>
      <c r="E8" s="66">
        <f>+BU!E14</f>
        <v>5056.7749999999996</v>
      </c>
      <c r="F8" s="66">
        <f>+BU!F14</f>
        <v>5056.7749999999996</v>
      </c>
      <c r="G8" s="66">
        <f>+BU!G14</f>
        <v>5056.7749999999996</v>
      </c>
      <c r="H8" s="66">
        <f>+BU!H14</f>
        <v>5056.7749999999996</v>
      </c>
      <c r="I8" s="66">
        <f>+BU!I14</f>
        <v>5056.7749999999996</v>
      </c>
    </row>
    <row r="9" spans="3:9" x14ac:dyDescent="0.25">
      <c r="C9" s="65" t="s">
        <v>248</v>
      </c>
      <c r="D9" s="66">
        <f>+BU!D22</f>
        <v>3409.6081351282478</v>
      </c>
      <c r="E9" s="66">
        <f>+BU!E22</f>
        <v>3681.4034985470348</v>
      </c>
      <c r="F9" s="66">
        <f>+BU!F22</f>
        <v>3823.415007981464</v>
      </c>
      <c r="G9" s="66">
        <f>+BU!G22</f>
        <v>3995.700783588878</v>
      </c>
      <c r="H9" s="66">
        <f>+BU!H22</f>
        <v>4146.9474707289392</v>
      </c>
      <c r="I9" s="66">
        <f>+BU!I22</f>
        <v>4268.04194805305</v>
      </c>
    </row>
    <row r="10" spans="3:9" x14ac:dyDescent="0.25">
      <c r="C10" s="65" t="s">
        <v>249</v>
      </c>
      <c r="D10" s="66">
        <f>+BS!C16-BS!D16</f>
        <v>6538.9548850698156</v>
      </c>
      <c r="E10" s="66">
        <f>+BS!D16-BS!E16</f>
        <v>-706.92581514499761</v>
      </c>
      <c r="F10" s="66">
        <f>+BS!E16-BS!F16</f>
        <v>-609.04426235553547</v>
      </c>
      <c r="G10" s="66">
        <f>+BS!F16-BS!G16</f>
        <v>-650.94749417111598</v>
      </c>
      <c r="H10" s="66">
        <f>+BS!G16-BS!H16</f>
        <v>-646.30335016587196</v>
      </c>
      <c r="I10" s="66">
        <f>+BS!H16-BS!I16</f>
        <v>-650.5699599107902</v>
      </c>
    </row>
    <row r="11" spans="3:9" x14ac:dyDescent="0.25">
      <c r="C11" s="65" t="s">
        <v>250</v>
      </c>
      <c r="D11" s="66">
        <f>+BS!C18-BS!D18</f>
        <v>6418.3392770048958</v>
      </c>
      <c r="E11" s="66">
        <f>+BS!D18-BS!E18</f>
        <v>-1870.9071489264243</v>
      </c>
      <c r="F11" s="66">
        <f>+BS!E18-BS!F18</f>
        <v>-1535.4466403121478</v>
      </c>
      <c r="G11" s="66">
        <f>+BS!F18-BS!G18</f>
        <v>-1681.3151494669946</v>
      </c>
      <c r="H11" s="66">
        <f>+BS!G18-BS!H18</f>
        <v>-1623.4010454588133</v>
      </c>
      <c r="I11" s="66">
        <f>+BS!H18-BS!I18</f>
        <v>-1633.2627589288968</v>
      </c>
    </row>
    <row r="12" spans="3:9" x14ac:dyDescent="0.25">
      <c r="C12" s="65" t="s">
        <v>251</v>
      </c>
      <c r="D12" s="66">
        <f>+BS!C22-BS!D22</f>
        <v>8.4554844236760118</v>
      </c>
      <c r="E12" s="66">
        <f>+BS!D22-BS!E22</f>
        <v>-28.727985485325348</v>
      </c>
      <c r="F12" s="66">
        <f>+BS!E22-BS!F22</f>
        <v>-24.94344188608784</v>
      </c>
      <c r="G12" s="66">
        <f>+BS!F22-BS!G22</f>
        <v>-26.583543083837981</v>
      </c>
      <c r="H12" s="66">
        <f>+BS!G22-BS!H22</f>
        <v>-25.525021274160849</v>
      </c>
      <c r="I12" s="66">
        <f>+BS!H22-BS!I22</f>
        <v>-26.552739493234299</v>
      </c>
    </row>
    <row r="13" spans="3:9" x14ac:dyDescent="0.25">
      <c r="C13" s="65" t="s">
        <v>252</v>
      </c>
      <c r="D13" s="66">
        <f>+BS!D43-BS!C43</f>
        <v>8594.4109175946578</v>
      </c>
      <c r="E13" s="66">
        <f>+BS!E43-BS!D43</f>
        <v>1987.3784719376272</v>
      </c>
      <c r="F13" s="66">
        <f>+BS!F43-BS!E43</f>
        <v>1803.0722900957699</v>
      </c>
      <c r="G13" s="66">
        <f>+BS!G43-BS!F43</f>
        <v>1914.5753442612695</v>
      </c>
      <c r="H13" s="66">
        <f>+BS!H43-BS!G43</f>
        <v>1880.570695165763</v>
      </c>
      <c r="I13" s="66">
        <f>+BS!I43-BS!H43</f>
        <v>1961.0954275238255</v>
      </c>
    </row>
    <row r="14" spans="3:9" x14ac:dyDescent="0.25">
      <c r="C14" s="65" t="s">
        <v>253</v>
      </c>
      <c r="D14" s="66">
        <f>+BS!D44-BS!C44</f>
        <v>-209.19549381107481</v>
      </c>
      <c r="E14" s="66">
        <f>+BS!E44-BS!D44</f>
        <v>96.887397817589317</v>
      </c>
      <c r="F14" s="66">
        <f>+BS!F44-BS!E44</f>
        <v>87.902221308686421</v>
      </c>
      <c r="G14" s="66">
        <f>+BS!G44-BS!F44</f>
        <v>93.338146533475538</v>
      </c>
      <c r="H14" s="66">
        <f>+BS!H44-BS!G44</f>
        <v>91.680373738265644</v>
      </c>
      <c r="I14" s="66">
        <f>+BS!I44-BS!H44</f>
        <v>95.606063730531787</v>
      </c>
    </row>
    <row r="15" spans="3:9" x14ac:dyDescent="0.25">
      <c r="C15" s="65" t="s">
        <v>254</v>
      </c>
      <c r="D15" s="66">
        <f>+BS!D45-BS!C45</f>
        <v>269.2011265472313</v>
      </c>
      <c r="E15" s="66">
        <f>+BS!E45-BS!D45</f>
        <v>24.221849454397329</v>
      </c>
      <c r="F15" s="66">
        <f>+BS!F45-BS!E45</f>
        <v>21.975555327171605</v>
      </c>
      <c r="G15" s="66">
        <f>+BS!G45-BS!F45</f>
        <v>23.334536633368884</v>
      </c>
      <c r="H15" s="66">
        <f>+BS!H45-BS!G45</f>
        <v>22.920093434566411</v>
      </c>
      <c r="I15" s="66">
        <f>+BS!I45-BS!H45</f>
        <v>23.901515932632947</v>
      </c>
    </row>
    <row r="16" spans="3:9" x14ac:dyDescent="0.25">
      <c r="C16" s="65" t="s">
        <v>255</v>
      </c>
      <c r="D16" s="66">
        <f>+BS!D46-BS!C46</f>
        <v>-333</v>
      </c>
      <c r="E16" s="66">
        <f>+BS!E46-BS!D46</f>
        <v>0</v>
      </c>
      <c r="F16" s="66">
        <f>+BS!F46-BS!E46</f>
        <v>0</v>
      </c>
      <c r="G16" s="66">
        <f>+BS!G46-BS!F46</f>
        <v>0</v>
      </c>
      <c r="H16" s="66">
        <f>+BS!H46-BS!G46</f>
        <v>0</v>
      </c>
      <c r="I16" s="66">
        <f>+BS!I46-BS!H46</f>
        <v>0</v>
      </c>
    </row>
    <row r="18" spans="3:9" x14ac:dyDescent="0.25">
      <c r="C18" s="68" t="s">
        <v>256</v>
      </c>
      <c r="D18" s="69">
        <f t="shared" ref="D18:I18" si="0">+D7+D8-D9+D10+D11+D12+D13+D14+D15+D16</f>
        <v>57467.74363370092</v>
      </c>
      <c r="E18" s="69">
        <f t="shared" si="0"/>
        <v>37868.730703105866</v>
      </c>
      <c r="F18" s="69">
        <f t="shared" si="0"/>
        <v>39213.146780416399</v>
      </c>
      <c r="G18" s="69">
        <f t="shared" si="0"/>
        <v>40601.303759756702</v>
      </c>
      <c r="H18" s="69">
        <f t="shared" si="0"/>
        <v>41909.523708130073</v>
      </c>
      <c r="I18" s="69">
        <f t="shared" si="0"/>
        <v>42989.067803701517</v>
      </c>
    </row>
    <row r="20" spans="3:9" ht="15" x14ac:dyDescent="0.3">
      <c r="C20" s="67" t="s">
        <v>257</v>
      </c>
    </row>
    <row r="21" spans="3:9" x14ac:dyDescent="0.25">
      <c r="C21" s="65" t="s">
        <v>258</v>
      </c>
      <c r="D21" s="66">
        <f>+BS!C7-BS!D7</f>
        <v>-216</v>
      </c>
      <c r="E21" s="66">
        <f>+BS!D7-BS!E7</f>
        <v>0</v>
      </c>
      <c r="F21" s="66">
        <f>+BS!E7-BS!F7</f>
        <v>0</v>
      </c>
      <c r="G21" s="66">
        <f>+BS!F7-BS!G7</f>
        <v>0</v>
      </c>
      <c r="H21" s="66">
        <f>+BS!G7-BS!H7</f>
        <v>0</v>
      </c>
      <c r="I21" s="66">
        <f>+BS!H7-BS!I7</f>
        <v>0</v>
      </c>
    </row>
    <row r="22" spans="3:9" x14ac:dyDescent="0.25">
      <c r="C22" s="65" t="s">
        <v>272</v>
      </c>
      <c r="D22" s="66">
        <f>-(+Amortizacija!C8+Amortizacija!C16)</f>
        <v>-5056.7749999999996</v>
      </c>
      <c r="E22" s="66">
        <f>-(+Amortizacija!D8+Amortizacija!D16)</f>
        <v>-5056.7749999999996</v>
      </c>
      <c r="F22" s="66">
        <f>-(+Amortizacija!E8+Amortizacija!E16)</f>
        <v>-5056.7749999999996</v>
      </c>
      <c r="G22" s="66">
        <f>-(+Amortizacija!F8+Amortizacija!F16)</f>
        <v>-5056.7749999999996</v>
      </c>
      <c r="H22" s="66">
        <f>-(+Amortizacija!G8+Amortizacija!G16)</f>
        <v>-5056.7749999999996</v>
      </c>
      <c r="I22" s="66">
        <f>-(+Amortizacija!H8+Amortizacija!H16)</f>
        <v>-5056.7749999999996</v>
      </c>
    </row>
    <row r="23" spans="3:9" x14ac:dyDescent="0.25">
      <c r="C23" s="65" t="s">
        <v>259</v>
      </c>
      <c r="D23" s="66">
        <f>+BS!C14-BS!D14</f>
        <v>1373</v>
      </c>
      <c r="E23" s="66">
        <f>+BS!D14-BS!E14</f>
        <v>378</v>
      </c>
      <c r="F23" s="66">
        <f>+BS!E14-BS!F14</f>
        <v>386</v>
      </c>
      <c r="G23" s="66">
        <f>+BS!F14-BS!G14</f>
        <v>395</v>
      </c>
      <c r="H23" s="66">
        <f>+BS!G14-BS!H14</f>
        <v>404</v>
      </c>
      <c r="I23" s="66">
        <f>+BS!H14-BS!I14</f>
        <v>486</v>
      </c>
    </row>
    <row r="24" spans="3:9" x14ac:dyDescent="0.25">
      <c r="C24" s="65" t="s">
        <v>260</v>
      </c>
      <c r="D24" s="66">
        <f>+BS!C20-BS!D20</f>
        <v>-8055</v>
      </c>
      <c r="E24" s="66">
        <f>+BS!D20-BS!E20</f>
        <v>0</v>
      </c>
      <c r="F24" s="66">
        <f>+BS!E20-BS!F20</f>
        <v>0</v>
      </c>
      <c r="G24" s="66">
        <f>+BS!F20-BS!G20</f>
        <v>0</v>
      </c>
      <c r="H24" s="66">
        <f>+BS!G20-BS!H20</f>
        <v>0</v>
      </c>
      <c r="I24" s="66">
        <f>+BS!H20-BS!I20</f>
        <v>0</v>
      </c>
    </row>
    <row r="26" spans="3:9" x14ac:dyDescent="0.25">
      <c r="C26" s="68" t="s">
        <v>261</v>
      </c>
      <c r="D26" s="69">
        <f t="shared" ref="D26:I26" si="1">+D21+D22+D23+D24</f>
        <v>-11954.775</v>
      </c>
      <c r="E26" s="69">
        <f t="shared" si="1"/>
        <v>-4678.7749999999996</v>
      </c>
      <c r="F26" s="69">
        <f t="shared" si="1"/>
        <v>-4670.7749999999996</v>
      </c>
      <c r="G26" s="69">
        <f t="shared" si="1"/>
        <v>-4661.7749999999996</v>
      </c>
      <c r="H26" s="69">
        <f t="shared" si="1"/>
        <v>-4652.7749999999996</v>
      </c>
      <c r="I26" s="69">
        <f t="shared" si="1"/>
        <v>-4570.7749999999996</v>
      </c>
    </row>
    <row r="28" spans="3:9" x14ac:dyDescent="0.25">
      <c r="C28" s="65" t="s">
        <v>262</v>
      </c>
    </row>
    <row r="29" spans="3:9" x14ac:dyDescent="0.25">
      <c r="C29" s="70" t="s">
        <v>263</v>
      </c>
      <c r="D29" s="66">
        <f>+BS!D39-BS!C39</f>
        <v>4884.0405199999987</v>
      </c>
      <c r="E29" s="66">
        <f>+BS!E39-BS!D39</f>
        <v>-2844.5789576741645</v>
      </c>
      <c r="F29" s="66">
        <f>+BS!F39-BS!E39</f>
        <v>-2930.8811810300231</v>
      </c>
      <c r="G29" s="66">
        <f>+BS!G39-BS!F39</f>
        <v>-3019.8017439950054</v>
      </c>
      <c r="H29" s="66">
        <f>+BS!H39-BS!G39</f>
        <v>-3111.4200848737369</v>
      </c>
      <c r="I29" s="66">
        <f>+BS!I39-BS!H39</f>
        <v>-2395.3585719185294</v>
      </c>
    </row>
    <row r="30" spans="3:9" x14ac:dyDescent="0.25">
      <c r="C30" s="70" t="s">
        <v>264</v>
      </c>
      <c r="D30" s="66">
        <f>+BS!D40-BS!C40</f>
        <v>-767</v>
      </c>
      <c r="E30" s="66">
        <f>+BS!E40-BS!D40</f>
        <v>-2155</v>
      </c>
      <c r="F30" s="66">
        <f>+BS!F40-BS!E40</f>
        <v>-583</v>
      </c>
      <c r="G30" s="66">
        <f>+BS!G40-BS!F40</f>
        <v>-171</v>
      </c>
      <c r="H30" s="66">
        <f>+BS!H40-BS!G40</f>
        <v>0</v>
      </c>
      <c r="I30" s="66">
        <f>+BS!I40-BS!H40</f>
        <v>0</v>
      </c>
    </row>
    <row r="31" spans="3:9" x14ac:dyDescent="0.25">
      <c r="C31" s="70" t="s">
        <v>265</v>
      </c>
      <c r="D31" s="66">
        <f>+BS!D42-BS!C42</f>
        <v>-2054</v>
      </c>
      <c r="E31" s="66">
        <f>+BS!E42-BS!D42</f>
        <v>0</v>
      </c>
      <c r="F31" s="66">
        <f>+BS!F42-BS!E42</f>
        <v>0</v>
      </c>
      <c r="G31" s="66">
        <f>+BS!G42-BS!F42</f>
        <v>0</v>
      </c>
      <c r="H31" s="66">
        <f>+BS!H42-BS!G42</f>
        <v>0</v>
      </c>
      <c r="I31" s="66">
        <f>+BS!I42-BS!H42</f>
        <v>0</v>
      </c>
    </row>
    <row r="32" spans="3:9" x14ac:dyDescent="0.25">
      <c r="C32" s="70" t="s">
        <v>267</v>
      </c>
      <c r="D32" s="66">
        <f>+BU!D17</f>
        <v>210.46928511456011</v>
      </c>
      <c r="E32" s="66">
        <f>+BU!E17</f>
        <v>341.11450204710582</v>
      </c>
      <c r="F32" s="66">
        <f>+BU!F17</f>
        <v>327.75911435063045</v>
      </c>
      <c r="G32" s="66">
        <f>+BU!G17</f>
        <v>314.10387164340989</v>
      </c>
      <c r="H32" s="66">
        <f>+BU!H17</f>
        <v>300.13810899638634</v>
      </c>
      <c r="I32" s="66">
        <f>+BU!I17</f>
        <v>286.3221457114721</v>
      </c>
    </row>
    <row r="33" spans="3:9" x14ac:dyDescent="0.25">
      <c r="C33" s="70" t="s">
        <v>268</v>
      </c>
      <c r="D33" s="66">
        <f>-BU!D18</f>
        <v>-647.79850583204495</v>
      </c>
      <c r="E33" s="66">
        <f>-BU!E18</f>
        <v>-518.5119485767907</v>
      </c>
      <c r="F33" s="66">
        <f>-BU!F18</f>
        <v>-329.88010075600454</v>
      </c>
      <c r="G33" s="66">
        <f>-BU!G18</f>
        <v>-224.92373839405423</v>
      </c>
      <c r="H33" s="66">
        <f>-BU!H18</f>
        <v>-130.4178351262623</v>
      </c>
      <c r="I33" s="66">
        <f>-BU!I18</f>
        <v>-36.01986808147042</v>
      </c>
    </row>
    <row r="34" spans="3:9" x14ac:dyDescent="0.25">
      <c r="C34" s="70"/>
    </row>
    <row r="35" spans="3:9" x14ac:dyDescent="0.25">
      <c r="C35" s="68" t="s">
        <v>266</v>
      </c>
      <c r="D35" s="69">
        <f t="shared" ref="D35:I35" si="2">+D29+D30+D31+D32+D33</f>
        <v>1625.7112992825137</v>
      </c>
      <c r="E35" s="69">
        <f t="shared" si="2"/>
        <v>-5176.9764042038496</v>
      </c>
      <c r="F35" s="69">
        <f t="shared" si="2"/>
        <v>-3516.002167435397</v>
      </c>
      <c r="G35" s="69">
        <f t="shared" si="2"/>
        <v>-3101.6216107456494</v>
      </c>
      <c r="H35" s="69">
        <f t="shared" si="2"/>
        <v>-2941.6998110036125</v>
      </c>
      <c r="I35" s="69">
        <f t="shared" si="2"/>
        <v>-2145.0562942885276</v>
      </c>
    </row>
    <row r="37" spans="3:9" ht="15.75" thickBot="1" x14ac:dyDescent="0.35">
      <c r="C37" s="71" t="s">
        <v>269</v>
      </c>
      <c r="D37" s="72">
        <f t="shared" ref="D37:I37" si="3">+D18+D26+D35</f>
        <v>47138.679932983432</v>
      </c>
      <c r="E37" s="72">
        <f t="shared" si="3"/>
        <v>28012.979298902013</v>
      </c>
      <c r="F37" s="72">
        <f t="shared" si="3"/>
        <v>31026.369612981001</v>
      </c>
      <c r="G37" s="72">
        <f t="shared" si="3"/>
        <v>32837.907149011051</v>
      </c>
      <c r="H37" s="72">
        <f t="shared" si="3"/>
        <v>34315.048897126457</v>
      </c>
      <c r="I37" s="72">
        <f t="shared" si="3"/>
        <v>36273.236509412985</v>
      </c>
    </row>
    <row r="38" spans="3:9" ht="14.25" thickTop="1" x14ac:dyDescent="0.25"/>
    <row r="39" spans="3:9" x14ac:dyDescent="0.25">
      <c r="C39" s="65" t="s">
        <v>270</v>
      </c>
      <c r="D39" s="66">
        <f>+BS!C21</f>
        <v>7909</v>
      </c>
      <c r="E39" s="66">
        <f>+D40</f>
        <v>55047.679932983432</v>
      </c>
      <c r="F39" s="66">
        <f>+E40</f>
        <v>83060.659231885453</v>
      </c>
      <c r="G39" s="66">
        <f>+F40</f>
        <v>114087.02884486645</v>
      </c>
      <c r="H39" s="66">
        <f>+G40</f>
        <v>146924.9359938775</v>
      </c>
      <c r="I39" s="66">
        <f>+H40</f>
        <v>181239.98489100396</v>
      </c>
    </row>
    <row r="40" spans="3:9" x14ac:dyDescent="0.25">
      <c r="C40" s="65" t="s">
        <v>271</v>
      </c>
      <c r="D40" s="66">
        <f t="shared" ref="D40:I40" si="4">+D37+D39</f>
        <v>55047.679932983432</v>
      </c>
      <c r="E40" s="66">
        <f t="shared" si="4"/>
        <v>83060.659231885453</v>
      </c>
      <c r="F40" s="66">
        <f t="shared" si="4"/>
        <v>114087.02884486645</v>
      </c>
      <c r="G40" s="66">
        <f t="shared" si="4"/>
        <v>146924.9359938775</v>
      </c>
      <c r="H40" s="66">
        <f t="shared" si="4"/>
        <v>181239.98489100396</v>
      </c>
      <c r="I40" s="66">
        <f t="shared" si="4"/>
        <v>217513.22140041695</v>
      </c>
    </row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2:K43"/>
  <sheetViews>
    <sheetView workbookViewId="0">
      <selection activeCell="C2" sqref="C2:I2"/>
    </sheetView>
  </sheetViews>
  <sheetFormatPr defaultRowHeight="13.5" x14ac:dyDescent="0.25"/>
  <cols>
    <col min="1" max="1" width="9.140625" style="1"/>
    <col min="2" max="2" width="49" style="1" bestFit="1" customWidth="1"/>
    <col min="3" max="16384" width="9.140625" style="1"/>
  </cols>
  <sheetData>
    <row r="2" spans="1:10" ht="15" x14ac:dyDescent="0.3">
      <c r="C2" s="8">
        <v>2014</v>
      </c>
      <c r="D2" s="8">
        <f>+C2+1</f>
        <v>2015</v>
      </c>
      <c r="E2" s="8">
        <f t="shared" ref="E2:I2" si="0">+D2+1</f>
        <v>2016</v>
      </c>
      <c r="F2" s="8">
        <f t="shared" si="0"/>
        <v>2017</v>
      </c>
      <c r="G2" s="8">
        <f t="shared" si="0"/>
        <v>2018</v>
      </c>
      <c r="H2" s="8">
        <f t="shared" si="0"/>
        <v>2019</v>
      </c>
      <c r="I2" s="8">
        <f t="shared" si="0"/>
        <v>2020</v>
      </c>
    </row>
    <row r="4" spans="1:10" ht="15" x14ac:dyDescent="0.3">
      <c r="B4" s="2" t="s">
        <v>22</v>
      </c>
      <c r="C4" s="21">
        <f>SUM(C5:C6)</f>
        <v>10429</v>
      </c>
      <c r="D4" s="21">
        <f t="shared" ref="D4:I4" si="1">SUM(D5:D6)</f>
        <v>11445.8</v>
      </c>
      <c r="E4" s="21">
        <f t="shared" si="1"/>
        <v>12138.6</v>
      </c>
      <c r="F4" s="21">
        <f t="shared" si="1"/>
        <v>12884</v>
      </c>
      <c r="G4" s="21">
        <f t="shared" si="1"/>
        <v>13665</v>
      </c>
      <c r="H4" s="21">
        <f t="shared" si="1"/>
        <v>14490</v>
      </c>
      <c r="I4" s="21">
        <f t="shared" si="1"/>
        <v>15368.2</v>
      </c>
    </row>
    <row r="5" spans="1:10" x14ac:dyDescent="0.25">
      <c r="B5" s="1" t="s">
        <v>23</v>
      </c>
      <c r="C5" s="5">
        <f>+'Prihodi - količinski'!D30</f>
        <v>10261</v>
      </c>
      <c r="D5" s="5">
        <f>+'Prihodi - količinski'!E30</f>
        <v>11261</v>
      </c>
      <c r="E5" s="5">
        <f>+'Prihodi - količinski'!F30</f>
        <v>11937</v>
      </c>
      <c r="F5" s="5">
        <f>+'Prihodi - količinski'!G30</f>
        <v>12653</v>
      </c>
      <c r="G5" s="5">
        <f>+'Prihodi - količinski'!H30</f>
        <v>13413</v>
      </c>
      <c r="H5" s="5">
        <f>+'Prihodi - količinski'!I30</f>
        <v>14217</v>
      </c>
      <c r="I5" s="5">
        <f>+'Prihodi - količinski'!J30</f>
        <v>15070</v>
      </c>
    </row>
    <row r="6" spans="1:10" x14ac:dyDescent="0.25">
      <c r="B6" s="1" t="s">
        <v>24</v>
      </c>
      <c r="C6" s="5">
        <f>+'Prihodi - količinski'!D59*84/1000</f>
        <v>168</v>
      </c>
      <c r="D6" s="5">
        <f>+'Prihodi - količinski'!E59*84/1000</f>
        <v>184.8</v>
      </c>
      <c r="E6" s="5">
        <f>+'Prihodi - količinski'!F59*84/1000</f>
        <v>201.6</v>
      </c>
      <c r="F6" s="5">
        <f>+'Prihodi - količinski'!G59*84/1000</f>
        <v>231</v>
      </c>
      <c r="G6" s="5">
        <f>+'Prihodi - količinski'!H59*84/1000</f>
        <v>252</v>
      </c>
      <c r="H6" s="5">
        <f>+'Prihodi - količinski'!I59*84/1000</f>
        <v>273</v>
      </c>
      <c r="I6" s="5">
        <f>+'Prihodi - količinski'!J59*84/1000</f>
        <v>298.2</v>
      </c>
    </row>
    <row r="8" spans="1:10" ht="15" x14ac:dyDescent="0.3">
      <c r="B8" s="2" t="s">
        <v>25</v>
      </c>
      <c r="C8" s="21">
        <f>+C9+C25</f>
        <v>215732.52974999999</v>
      </c>
      <c r="D8" s="21">
        <f t="shared" ref="D8:I8" si="2">+D9+D25</f>
        <v>240517.70559199998</v>
      </c>
      <c r="E8" s="21">
        <f t="shared" si="2"/>
        <v>251206.25679100002</v>
      </c>
      <c r="F8" s="21">
        <f t="shared" si="2"/>
        <v>259801.49000774999</v>
      </c>
      <c r="G8" s="21">
        <f t="shared" si="2"/>
        <v>269248.4899399025</v>
      </c>
      <c r="H8" s="21">
        <f t="shared" si="2"/>
        <v>278299.17909197661</v>
      </c>
      <c r="I8" s="21">
        <f t="shared" si="2"/>
        <v>287356.66033103981</v>
      </c>
    </row>
    <row r="9" spans="1:10" ht="15" x14ac:dyDescent="0.3">
      <c r="B9" s="2" t="s">
        <v>26</v>
      </c>
      <c r="C9" s="3">
        <f>SUM(C10:C24)</f>
        <v>184900.3725</v>
      </c>
      <c r="D9" s="3">
        <f t="shared" ref="D9:I9" si="3">SUM(D10:D24)</f>
        <v>190841.33899999998</v>
      </c>
      <c r="E9" s="3">
        <f t="shared" si="3"/>
        <v>196162.20527500004</v>
      </c>
      <c r="F9" s="3">
        <f t="shared" si="3"/>
        <v>201612.40924574999</v>
      </c>
      <c r="G9" s="3">
        <f t="shared" si="3"/>
        <v>207913.38802390252</v>
      </c>
      <c r="H9" s="3">
        <f t="shared" si="3"/>
        <v>213549.48432197663</v>
      </c>
      <c r="I9" s="3">
        <f t="shared" si="3"/>
        <v>219438.19777103979</v>
      </c>
    </row>
    <row r="10" spans="1:10" x14ac:dyDescent="0.25">
      <c r="A10" s="11"/>
      <c r="B10" s="11" t="s">
        <v>27</v>
      </c>
      <c r="C10" s="5">
        <f>+'Prihodi - količinski'!D7*'Poslovni prihodi'!$J$10/1000</f>
        <v>55596.205000000002</v>
      </c>
      <c r="D10" s="5">
        <f>+'Prihodi - količinski'!E7*'Poslovni prihodi'!$J$10/1000</f>
        <v>56707.92</v>
      </c>
      <c r="E10" s="5">
        <f>+'Prihodi - količinski'!F7*'Poslovni prihodi'!$J$10/1000</f>
        <v>57842.078399999999</v>
      </c>
      <c r="F10" s="5">
        <f>+'Prihodi - količinski'!G7*'Poslovni prihodi'!$J$10/1000</f>
        <v>58998.919968000002</v>
      </c>
      <c r="G10" s="5">
        <f>+'Prihodi - količinski'!H7*'Poslovni prihodi'!$J$10/1000</f>
        <v>60178.898367360001</v>
      </c>
      <c r="H10" s="5">
        <f>+'Prihodi - količinski'!I7*'Poslovni prihodi'!$J$10/1000</f>
        <v>61382.476334707208</v>
      </c>
      <c r="I10" s="5">
        <f>+'Prihodi - količinski'!J7*'Poslovni prihodi'!$J$10/1000</f>
        <v>62610.12586140135</v>
      </c>
      <c r="J10" s="1">
        <v>174.25</v>
      </c>
    </row>
    <row r="11" spans="1:10" x14ac:dyDescent="0.25">
      <c r="A11" s="11"/>
      <c r="B11" s="11" t="s">
        <v>28</v>
      </c>
      <c r="C11" s="5">
        <f>+'Prihodi - količinski'!D8*'Poslovni prihodi'!$J$11/1000</f>
        <v>69977.737500000003</v>
      </c>
      <c r="D11" s="5">
        <f>+'Prihodi - količinski'!E8*'Poslovni prihodi'!$J$11/1000</f>
        <v>71377.899999999994</v>
      </c>
      <c r="E11" s="5">
        <f>+'Prihodi - količinski'!F8*'Poslovni prihodi'!$J$11/1000</f>
        <v>72805.457999999999</v>
      </c>
      <c r="F11" s="5">
        <f>+'Prihodi - količinski'!G8*'Poslovni prihodi'!$J$11/1000</f>
        <v>74261.567159999991</v>
      </c>
      <c r="G11" s="5">
        <f>+'Prihodi - količinski'!H8*'Poslovni prihodi'!$J$11/1000</f>
        <v>75746.7985032</v>
      </c>
      <c r="H11" s="5">
        <f>+'Prihodi - količinski'!I8*'Poslovni prihodi'!$J$11/1000</f>
        <v>77261.734473264005</v>
      </c>
      <c r="I11" s="5">
        <f>+'Prihodi - količinski'!J8*'Poslovni prihodi'!$J$11/1000</f>
        <v>78806.969162729278</v>
      </c>
      <c r="J11" s="1">
        <v>233.75</v>
      </c>
    </row>
    <row r="12" spans="1:10" x14ac:dyDescent="0.25">
      <c r="A12" s="11"/>
      <c r="B12" s="11" t="s">
        <v>29</v>
      </c>
      <c r="C12" s="5">
        <f>+'Prihodi - količinski'!D9*'Poslovni prihodi'!$J$12/1000</f>
        <v>29768.7425</v>
      </c>
      <c r="D12" s="5">
        <f>+'Prihodi - količinski'!E9*'Poslovni prihodi'!$J$12/1000</f>
        <v>30363.997500000001</v>
      </c>
      <c r="E12" s="5">
        <f>+'Prihodi - količinski'!F9*'Poslovni prihodi'!$J$12/1000</f>
        <v>30971.277450000001</v>
      </c>
      <c r="F12" s="5">
        <f>+'Prihodi - količinski'!G9*'Poslovni prihodi'!$J$12/1000</f>
        <v>31590.702999000005</v>
      </c>
      <c r="G12" s="5">
        <f>+'Prihodi - količinski'!H9*'Poslovni prihodi'!$J$12/1000</f>
        <v>32222.517058980007</v>
      </c>
      <c r="H12" s="5">
        <f>+'Prihodi - količinski'!I9*'Poslovni prihodi'!$J$12/1000</f>
        <v>32866.967400159607</v>
      </c>
      <c r="I12" s="5">
        <f>+'Prihodi - količinski'!J9*'Poslovni prihodi'!$J$12/1000</f>
        <v>33524.306748162802</v>
      </c>
      <c r="J12" s="1">
        <v>199.75</v>
      </c>
    </row>
    <row r="13" spans="1:10" x14ac:dyDescent="0.25">
      <c r="A13" s="11"/>
      <c r="B13" s="11" t="s">
        <v>30</v>
      </c>
      <c r="C13" s="5">
        <f>+'Prihodi - količinski'!D12*'Poslovni prihodi'!$J$13/1000</f>
        <v>2556.9699999999998</v>
      </c>
      <c r="D13" s="5">
        <f>+'Prihodi - količinski'!E12*'Poslovni prihodi'!$J$13/1000</f>
        <v>2684.8184999999999</v>
      </c>
      <c r="E13" s="5">
        <f>+'Prihodi - količinski'!F12*'Poslovni prihodi'!$J$13/1000</f>
        <v>2819.0594250000004</v>
      </c>
      <c r="F13" s="5">
        <f>+'Prihodi - količinski'!G12*'Poslovni prihodi'!$J$13/1000</f>
        <v>2960.0123962500002</v>
      </c>
      <c r="G13" s="5">
        <f>+'Prihodi - količinski'!H12*'Poslovni prihodi'!$J$13/1000</f>
        <v>3108.0130160625004</v>
      </c>
      <c r="H13" s="5">
        <f>+'Prihodi - količinski'!I12*'Poslovni prihodi'!$J$13/1000</f>
        <v>3263.4136668656256</v>
      </c>
      <c r="I13" s="5">
        <f>+'Prihodi - količinski'!J12*'Poslovni prihodi'!$J$13/1000</f>
        <v>3426.5843502089065</v>
      </c>
      <c r="J13" s="1">
        <v>75.650000000000006</v>
      </c>
    </row>
    <row r="14" spans="1:10" x14ac:dyDescent="0.25">
      <c r="A14" s="11"/>
      <c r="B14" s="11" t="s">
        <v>31</v>
      </c>
      <c r="C14" s="5">
        <f>+'Prihodi - količinski'!D13*'Poslovni prihodi'!$J$14/1000</f>
        <v>1777.35</v>
      </c>
      <c r="D14" s="5">
        <f>+'Prihodi - količinski'!E13*'Poslovni prihodi'!$J$14/1000</f>
        <v>1866.09</v>
      </c>
      <c r="E14" s="5">
        <f>+'Prihodi - količinski'!F13*'Poslovni prihodi'!$J$14/1000</f>
        <v>1959.3945000000001</v>
      </c>
      <c r="F14" s="5">
        <f>+'Prihodi - količinski'!G13*'Poslovni prihodi'!$J$14/1000</f>
        <v>2057.3642249999998</v>
      </c>
      <c r="G14" s="5">
        <f>+'Prihodi - količinski'!H13*'Poslovni prihodi'!$J$14/1000</f>
        <v>2160.2324362499999</v>
      </c>
      <c r="H14" s="5">
        <f>+'Prihodi - količinski'!I13*'Poslovni prihodi'!$J$14/1000</f>
        <v>2268.2440580625002</v>
      </c>
      <c r="I14" s="5">
        <f>+'Prihodi - količinski'!J13*'Poslovni prihodi'!$J$14/1000</f>
        <v>2381.6562609656253</v>
      </c>
      <c r="J14" s="1">
        <v>51</v>
      </c>
    </row>
    <row r="15" spans="1:10" x14ac:dyDescent="0.25">
      <c r="A15" s="11"/>
      <c r="B15" s="11" t="s">
        <v>32</v>
      </c>
      <c r="C15" s="5">
        <f>+'Prihodi - količinski'!D14*'Poslovni prihodi'!$J$15/1000</f>
        <v>2094.1875</v>
      </c>
      <c r="D15" s="5">
        <f>+'Prihodi - količinski'!E14*'Poslovni prihodi'!$J$15/1000</f>
        <v>2198.9924999999998</v>
      </c>
      <c r="E15" s="5">
        <f>+'Prihodi - količinski'!F14*'Poslovni prihodi'!$J$15/1000</f>
        <v>2308.942125</v>
      </c>
      <c r="F15" s="5">
        <f>+'Prihodi - količinski'!G14*'Poslovni prihodi'!$J$15/1000</f>
        <v>2424.3892312500002</v>
      </c>
      <c r="G15" s="5">
        <f>+'Prihodi - količinski'!H14*'Poslovni prihodi'!$J$15/1000</f>
        <v>2545.6086928125001</v>
      </c>
      <c r="H15" s="5">
        <f>+'Prihodi - količinski'!I14*'Poslovni prihodi'!$J$15/1000</f>
        <v>2672.8891274531252</v>
      </c>
      <c r="I15" s="5">
        <f>+'Prihodi - količinski'!J14*'Poslovni prihodi'!$J$15/1000</f>
        <v>2806.5335838257815</v>
      </c>
      <c r="J15" s="1">
        <v>38.25</v>
      </c>
    </row>
    <row r="16" spans="1:10" x14ac:dyDescent="0.25">
      <c r="A16" s="11"/>
      <c r="B16" s="11" t="s">
        <v>33</v>
      </c>
      <c r="C16" s="5">
        <f>+'Prihodi - količinski'!D15*'Poslovni prihodi'!$J$16/1000</f>
        <v>5453.6</v>
      </c>
      <c r="D16" s="5">
        <f>+'Prihodi - količinski'!E15*'Poslovni prihodi'!$J$16/1000</f>
        <v>5726.28</v>
      </c>
      <c r="E16" s="5">
        <f>+'Prihodi - količinski'!F15*'Poslovni prihodi'!$J$16/1000</f>
        <v>6012.5940000000001</v>
      </c>
      <c r="F16" s="5">
        <f>+'Prihodi - količinski'!G15*'Poslovni prihodi'!$J$16/1000</f>
        <v>6313.2237000000005</v>
      </c>
      <c r="G16" s="5">
        <f>+'Prihodi - količinski'!H15*'Poslovni prihodi'!$J$16/1000</f>
        <v>6628.8848850000004</v>
      </c>
      <c r="H16" s="5">
        <f>+'Prihodi - količinski'!I15*'Poslovni prihodi'!$J$16/1000</f>
        <v>6960.3291292500007</v>
      </c>
      <c r="I16" s="5">
        <f>+'Prihodi - količinski'!J15*'Poslovni prihodi'!$J$16/1000</f>
        <v>7308.3455857125009</v>
      </c>
      <c r="J16" s="1">
        <v>34</v>
      </c>
    </row>
    <row r="17" spans="1:11" x14ac:dyDescent="0.25">
      <c r="A17" s="11"/>
      <c r="B17" s="11" t="s">
        <v>34</v>
      </c>
      <c r="C17" s="5">
        <f>+'Prihodi - količinski'!D16*'Poslovni prihodi'!$J$17/1000</f>
        <v>1856.4000000000003</v>
      </c>
      <c r="D17" s="5">
        <f>+'Prihodi - količinski'!E16*'Poslovni prihodi'!$J$17/1000</f>
        <v>1949.2200000000003</v>
      </c>
      <c r="E17" s="5">
        <f>+'Prihodi - količinski'!F16*'Poslovni prihodi'!$J$17/1000</f>
        <v>2046.6810000000003</v>
      </c>
      <c r="F17" s="5">
        <f>+'Prihodi - količinski'!G16*'Poslovni prihodi'!$J$17/1000</f>
        <v>2149.0150500000004</v>
      </c>
      <c r="G17" s="5">
        <f>+'Prihodi - količinski'!H16*'Poslovni prihodi'!$J$17/1000</f>
        <v>2256.4658025000003</v>
      </c>
      <c r="H17" s="5">
        <f>+'Prihodi - količinski'!I16*'Poslovni prihodi'!$J$17/1000</f>
        <v>2369.2890926250002</v>
      </c>
      <c r="I17" s="5">
        <f>+'Prihodi - količinski'!J16*'Poslovni prihodi'!$J$17/1000</f>
        <v>2487.7535472562504</v>
      </c>
      <c r="J17" s="1">
        <v>35.700000000000003</v>
      </c>
    </row>
    <row r="18" spans="1:11" x14ac:dyDescent="0.25">
      <c r="A18" s="11"/>
      <c r="B18" s="11" t="s">
        <v>35</v>
      </c>
      <c r="C18" s="5">
        <f>+'Prihodi - količinski'!D19*'Poslovni prihodi'!$J$18/1000</f>
        <v>2552.5500000000002</v>
      </c>
      <c r="D18" s="5">
        <f>+'Prihodi - količinski'!E19*'Poslovni prihodi'!$J$18/1000</f>
        <v>2373.0300000000002</v>
      </c>
      <c r="E18" s="5">
        <f>+'Prihodi - količinski'!F19*'Poslovni prihodi'!$J$18/1000</f>
        <v>2221.56</v>
      </c>
      <c r="F18" s="5">
        <f>+'Prihodi - količinski'!G19*'Poslovni prihodi'!$J$18/1000</f>
        <v>2064.48</v>
      </c>
      <c r="G18" s="5">
        <f>+'Prihodi - količinski'!H19*'Poslovni prihodi'!$J$18/1000</f>
        <v>1924.23</v>
      </c>
      <c r="H18" s="5">
        <f>+'Prihodi - količinski'!I19*'Poslovni prihodi'!$J$18/1000</f>
        <v>1741.905</v>
      </c>
      <c r="I18" s="5">
        <f>+'Prihodi - količinski'!J19*'Poslovni prihodi'!$J$18/1000</f>
        <v>1654.95</v>
      </c>
      <c r="J18" s="1">
        <v>56.1</v>
      </c>
    </row>
    <row r="19" spans="1:11" x14ac:dyDescent="0.25">
      <c r="A19" s="11"/>
      <c r="B19" s="11" t="s">
        <v>36</v>
      </c>
      <c r="C19" s="5">
        <f>+'Prihodi - količinski'!D20*'Poslovni prihodi'!$J$19/1000</f>
        <v>81.599999999999994</v>
      </c>
      <c r="D19" s="5">
        <f>+'Prihodi - količinski'!E20*'Poslovni prihodi'!$J$19/1000</f>
        <v>532.03200000000004</v>
      </c>
      <c r="E19" s="5">
        <f>+'Prihodi - količinski'!F20*'Poslovni prihodi'!$J$19/1000</f>
        <v>950.63999999999987</v>
      </c>
      <c r="F19" s="5">
        <f>+'Prihodi - količinski'!G20*'Poslovni prihodi'!$J$19/1000</f>
        <v>1389.6479999999999</v>
      </c>
      <c r="G19" s="5">
        <f>+'Prihodi - količinski'!H20*'Poslovni prihodi'!$J$19/1000</f>
        <v>1813.1519999999998</v>
      </c>
      <c r="H19" s="5">
        <f>+'Prihodi - količinski'!I20*'Poslovni prihodi'!$J$19/1000</f>
        <v>2225.232</v>
      </c>
      <c r="I19" s="5">
        <f>+'Prihodi - količinski'!J20*'Poslovni prihodi'!$J$19/1000</f>
        <v>2671.5839999999998</v>
      </c>
      <c r="J19" s="1">
        <v>81.599999999999994</v>
      </c>
    </row>
    <row r="20" spans="1:11" x14ac:dyDescent="0.25">
      <c r="A20" s="11"/>
      <c r="B20" s="11" t="s">
        <v>37</v>
      </c>
      <c r="C20" s="5">
        <f>+'Prihodi - količinski'!D21*'Poslovni prihodi'!$J$20/1000</f>
        <v>830.28</v>
      </c>
      <c r="D20" s="5">
        <f>+'Prihodi - količinski'!E21*'Poslovni prihodi'!$J$20/1000</f>
        <v>871.79399999999998</v>
      </c>
      <c r="E20" s="5">
        <f>+'Prihodi - količinski'!F21*'Poslovni prihodi'!$J$20/1000</f>
        <v>915.19500000000005</v>
      </c>
      <c r="F20" s="5">
        <f>+'Prihodi - količinski'!G21*'Poslovni prihodi'!$J$20/1000</f>
        <v>961.11199999999997</v>
      </c>
      <c r="G20" s="5">
        <f>+'Prihodi - količinski'!H21*'Poslovni prihodi'!$J$20/1000</f>
        <v>1008.9160000000001</v>
      </c>
      <c r="H20" s="5">
        <f>+'Prihodi - količinski'!I21*'Poslovni prihodi'!$J$20/1000</f>
        <v>1059.865</v>
      </c>
      <c r="I20" s="5">
        <f>+'Prihodi - količinski'!J21*'Poslovni prihodi'!$J$20/1000</f>
        <v>1112.0719999999999</v>
      </c>
      <c r="J20" s="1">
        <v>62.9</v>
      </c>
    </row>
    <row r="21" spans="1:11" x14ac:dyDescent="0.25">
      <c r="A21" s="11"/>
      <c r="B21" s="11" t="s">
        <v>38</v>
      </c>
      <c r="C21" s="5">
        <f>+'Prihodi - količinski'!D22*'Poslovni prihodi'!$J$21/1000</f>
        <v>252.45</v>
      </c>
      <c r="D21" s="5">
        <f>+'Prihodi - količinski'!E22*'Poslovni prihodi'!$J$21/1000</f>
        <v>265.30200000000002</v>
      </c>
      <c r="E21" s="5">
        <f>+'Prihodi - količinski'!F22*'Poslovni prihodi'!$J$21/1000</f>
        <v>278.154</v>
      </c>
      <c r="F21" s="5">
        <f>+'Prihodi - količinski'!G22*'Poslovni prihodi'!$J$21/1000</f>
        <v>292.38299999999998</v>
      </c>
      <c r="G21" s="5">
        <f>+'Prihodi - količinski'!H22*'Poslovni prihodi'!$J$21/1000</f>
        <v>306.61200000000002</v>
      </c>
      <c r="H21" s="5">
        <f>+'Prihodi - količinski'!I22*'Poslovni prihodi'!$J$21/1000</f>
        <v>322.21800000000002</v>
      </c>
      <c r="I21" s="5">
        <f>+'Prihodi - količinski'!J22*'Poslovni prihodi'!$J$21/1000</f>
        <v>338.28300000000002</v>
      </c>
      <c r="J21" s="1">
        <v>45.9</v>
      </c>
    </row>
    <row r="22" spans="1:11" x14ac:dyDescent="0.25">
      <c r="A22" s="11"/>
      <c r="B22" s="11" t="s">
        <v>39</v>
      </c>
      <c r="C22" s="5">
        <f>+'Prihodi - količinski'!D25*'Poslovni prihodi'!$J$22/1000</f>
        <v>11594</v>
      </c>
      <c r="D22" s="5">
        <f>+'Prihodi - količinski'!E25*'Poslovni prihodi'!$J$22/1000</f>
        <v>11934</v>
      </c>
      <c r="E22" s="5">
        <f>+'Prihodi - količinski'!F25*'Poslovni prihodi'!$J$22/1000</f>
        <v>12292.02</v>
      </c>
      <c r="F22" s="5">
        <f>+'Prihodi - količinski'!G25*'Poslovni prihodi'!$J$22/1000</f>
        <v>12660.780600000002</v>
      </c>
      <c r="G22" s="5">
        <f>+'Prihodi - količinski'!H25*'Poslovni prihodi'!$J$22/1000</f>
        <v>13040.604018000002</v>
      </c>
      <c r="H22" s="5">
        <f>+'Prihodi - količinski'!I25*'Poslovni prihodi'!$J$22/1000</f>
        <v>13431.822138540001</v>
      </c>
      <c r="I22" s="5">
        <f>+'Prihodi - količinski'!J25*'Poslovni prihodi'!$J$22/1000</f>
        <v>13834.776802696202</v>
      </c>
      <c r="J22" s="1">
        <v>68</v>
      </c>
    </row>
    <row r="23" spans="1:11" x14ac:dyDescent="0.25">
      <c r="A23" s="11"/>
      <c r="B23" s="11" t="s">
        <v>40</v>
      </c>
      <c r="C23" s="5">
        <f>+'Prihodi - količinski'!D26*'Poslovni prihodi'!$J$23/1000</f>
        <v>508.3</v>
      </c>
      <c r="D23" s="5">
        <f>+'Prihodi - količinski'!E26*'Poslovni prihodi'!$J$23/1000</f>
        <v>522.96249999999998</v>
      </c>
      <c r="E23" s="5">
        <f>+'Prihodi - količinski'!F26*'Poslovni prihodi'!$J$23/1000</f>
        <v>538.65137500000003</v>
      </c>
      <c r="F23" s="5">
        <f>+'Prihodi - količinski'!G26*'Poslovni prihodi'!$J$23/1000</f>
        <v>554.81091624999999</v>
      </c>
      <c r="G23" s="5">
        <f>+'Prihodi - količinski'!H26*'Poslovni prihodi'!$J$23/1000</f>
        <v>571.45524373750004</v>
      </c>
      <c r="H23" s="5">
        <f>+'Prihodi - količinski'!I26*'Poslovni prihodi'!$J$23/1000</f>
        <v>588.59890104962506</v>
      </c>
      <c r="I23" s="5">
        <f>+'Prihodi - količinski'!J26*'Poslovni prihodi'!$J$23/1000</f>
        <v>606.25686808111379</v>
      </c>
      <c r="J23" s="1">
        <v>97.75</v>
      </c>
    </row>
    <row r="24" spans="1:11" x14ac:dyDescent="0.25">
      <c r="A24" s="11"/>
      <c r="B24" s="11" t="s">
        <v>41</v>
      </c>
      <c r="C24" s="5">
        <f>+'Prihodi - količinski'!D28*'Poslovni prihodi'!$J$24/1000</f>
        <v>0</v>
      </c>
      <c r="D24" s="5">
        <f>+'Prihodi - količinski'!E28*'Poslovni prihodi'!$J$24/1000</f>
        <v>1467</v>
      </c>
      <c r="E24" s="5">
        <f>+'Prihodi - količinski'!F28*'Poslovni prihodi'!$J$24/1000</f>
        <v>2200.5</v>
      </c>
      <c r="F24" s="5">
        <f>+'Prihodi - količinski'!G28*'Poslovni prihodi'!$J$24/1000</f>
        <v>2934</v>
      </c>
      <c r="G24" s="5">
        <f>+'Prihodi - količinski'!H28*'Poslovni prihodi'!$J$24/1000</f>
        <v>4401</v>
      </c>
      <c r="H24" s="5">
        <f>+'Prihodi - količinski'!I28*'Poslovni prihodi'!$J$24/1000</f>
        <v>5134.5</v>
      </c>
      <c r="I24" s="5">
        <f>+'Prihodi - količinski'!J28*'Poslovni prihodi'!$J$24/1000</f>
        <v>5868</v>
      </c>
      <c r="J24" s="1">
        <v>24.45</v>
      </c>
    </row>
    <row r="25" spans="1:11" ht="15" x14ac:dyDescent="0.3">
      <c r="A25" s="11"/>
      <c r="B25" s="22" t="s">
        <v>42</v>
      </c>
      <c r="C25" s="3">
        <f>SUM(C26:C40)</f>
        <v>30832.157250000004</v>
      </c>
      <c r="D25" s="3">
        <f t="shared" ref="D25:I25" si="4">SUM(D26:D40)</f>
        <v>49676.366591999991</v>
      </c>
      <c r="E25" s="3">
        <f t="shared" si="4"/>
        <v>55044.051515999992</v>
      </c>
      <c r="F25" s="3">
        <f t="shared" si="4"/>
        <v>58189.080762000012</v>
      </c>
      <c r="G25" s="3">
        <f t="shared" si="4"/>
        <v>61335.101916000007</v>
      </c>
      <c r="H25" s="3">
        <f t="shared" si="4"/>
        <v>64749.694770000002</v>
      </c>
      <c r="I25" s="3">
        <f t="shared" si="4"/>
        <v>67918.46256</v>
      </c>
      <c r="K25" s="1">
        <v>84.06</v>
      </c>
    </row>
    <row r="26" spans="1:11" x14ac:dyDescent="0.25">
      <c r="A26" s="11"/>
      <c r="B26" s="11" t="s">
        <v>43</v>
      </c>
      <c r="C26" s="5">
        <f>+'Prihodi - količinski'!D36*'Poslovni prihodi'!$K$26/1000</f>
        <v>14493.6252</v>
      </c>
      <c r="D26" s="5">
        <f>+'Prihodi - količinski'!E36*'Poslovni prihodi'!$K$26/1000</f>
        <v>23005.692107999999</v>
      </c>
      <c r="E26" s="5">
        <f>+'Prihodi - količinski'!F36*'Poslovni prihodi'!$K$26/1000</f>
        <v>25573.414086000001</v>
      </c>
      <c r="F26" s="5">
        <f>+'Prihodi - količinski'!G36*'Poslovni prihodi'!$K$26/1000</f>
        <v>26697.649337999999</v>
      </c>
      <c r="G26" s="5">
        <f>+'Prihodi - količinski'!H36*'Poslovni prihodi'!$K$26/1000</f>
        <v>27994.241214000001</v>
      </c>
      <c r="H26" s="5">
        <f>+'Prihodi - količinski'!I36*'Poslovni prihodi'!$K$26/1000</f>
        <v>29296.708884</v>
      </c>
      <c r="I26" s="5">
        <f>+'Prihodi - količinski'!J36*'Poslovni prihodi'!$K$26/1000</f>
        <v>30589.383564</v>
      </c>
      <c r="J26" s="1">
        <v>2.33</v>
      </c>
      <c r="K26" s="1">
        <f>+J26*$K$25</f>
        <v>195.85980000000001</v>
      </c>
    </row>
    <row r="27" spans="1:11" x14ac:dyDescent="0.25">
      <c r="A27" s="11"/>
      <c r="B27" s="11" t="s">
        <v>44</v>
      </c>
      <c r="C27" s="5">
        <f>+'Prihodi - količinski'!D37*'Poslovni prihodi'!$K$27/1000</f>
        <v>11075.7456</v>
      </c>
      <c r="D27" s="5">
        <f>+'Prihodi - količinski'!E37*'Poslovni prihodi'!$K$27/1000</f>
        <v>14636.90547</v>
      </c>
      <c r="E27" s="5">
        <f>+'Prihodi - količinski'!F37*'Poslovni prihodi'!$K$27/1000</f>
        <v>15339.39489</v>
      </c>
      <c r="F27" s="5">
        <f>+'Prihodi - količinski'!G37*'Poslovni prihodi'!$K$27/1000</f>
        <v>16249.554539999999</v>
      </c>
      <c r="G27" s="5">
        <f>+'Prihodi - količinski'!H37*'Poslovni prihodi'!$K$27/1000</f>
        <v>17028.958859999999</v>
      </c>
      <c r="H27" s="5">
        <f>+'Prihodi - količinski'!I37*'Poslovni prihodi'!$K$27/1000</f>
        <v>17816.054669999998</v>
      </c>
      <c r="I27" s="5">
        <f>+'Prihodi - količinski'!J37*'Poslovni prihodi'!$K$27/1000</f>
        <v>18610.841969999998</v>
      </c>
      <c r="J27" s="1">
        <v>3.05</v>
      </c>
      <c r="K27" s="1">
        <f t="shared" ref="K27:K39" si="5">+J27*$K$25</f>
        <v>256.38299999999998</v>
      </c>
    </row>
    <row r="28" spans="1:11" x14ac:dyDescent="0.25">
      <c r="A28" s="11"/>
      <c r="B28" s="11" t="s">
        <v>45</v>
      </c>
      <c r="C28" s="5">
        <f>+'Prihodi - količinski'!D38*'Poslovni prihodi'!$K$28/1000</f>
        <v>3342.2256000000002</v>
      </c>
      <c r="D28" s="5">
        <f>+'Prihodi - količinski'!E38*'Poslovni prihodi'!$K$28/1000</f>
        <v>4286.0512800000006</v>
      </c>
      <c r="E28" s="5">
        <f>+'Prihodi - količinski'!F38*'Poslovni prihodi'!$K$28/1000</f>
        <v>4667.3474399999996</v>
      </c>
      <c r="F28" s="5">
        <f>+'Prihodi - količinski'!G38*'Poslovni prihodi'!$K$28/1000</f>
        <v>4956.8500800000002</v>
      </c>
      <c r="G28" s="5">
        <f>+'Prihodi - količinski'!H38*'Poslovni prihodi'!$K$28/1000</f>
        <v>5206.3401599999997</v>
      </c>
      <c r="H28" s="5">
        <f>+'Prihodi - količinski'!I38*'Poslovni prihodi'!$K$28/1000</f>
        <v>5455.8302400000002</v>
      </c>
      <c r="I28" s="5">
        <f>+'Prihodi - količinski'!J38*'Poslovni prihodi'!$K$28/1000</f>
        <v>5710.0276800000001</v>
      </c>
      <c r="J28" s="1">
        <v>2.8</v>
      </c>
      <c r="K28" s="1">
        <f t="shared" si="5"/>
        <v>235.36799999999999</v>
      </c>
    </row>
    <row r="29" spans="1:11" x14ac:dyDescent="0.25">
      <c r="A29" s="11"/>
      <c r="B29" s="11" t="s">
        <v>46</v>
      </c>
      <c r="C29" s="5">
        <f>+'Prihodi - količinski'!D41*'Poslovni prihodi'!$K$29/1000</f>
        <v>290.00700000000001</v>
      </c>
      <c r="D29" s="5">
        <f>+'Prihodi - količinski'!E41*'Poslovni prihodi'!$K$29/1000</f>
        <v>296.77383000000003</v>
      </c>
      <c r="E29" s="5">
        <f>+'Prihodi - količinski'!F41*'Poslovni prihodi'!$K$29/1000</f>
        <v>304.50734999999997</v>
      </c>
      <c r="F29" s="5">
        <f>+'Prihodi - količinski'!G41*'Poslovni prihodi'!$K$29/1000</f>
        <v>313.20756</v>
      </c>
      <c r="G29" s="5">
        <f>+'Prihodi - količinski'!H41*'Poslovni prihodi'!$K$29/1000</f>
        <v>320.94108</v>
      </c>
      <c r="H29" s="5">
        <f>+'Prihodi - količinski'!I41*'Poslovni prihodi'!$K$29/1000</f>
        <v>329.64128999999997</v>
      </c>
      <c r="I29" s="5">
        <f>+'Prihodi - količinski'!J41*'Poslovni prihodi'!$K$29/1000</f>
        <v>338.3415</v>
      </c>
      <c r="J29" s="1">
        <v>1.1499999999999999</v>
      </c>
      <c r="K29" s="1">
        <f t="shared" si="5"/>
        <v>96.668999999999997</v>
      </c>
    </row>
    <row r="30" spans="1:11" x14ac:dyDescent="0.25">
      <c r="A30" s="11"/>
      <c r="B30" s="11" t="s">
        <v>47</v>
      </c>
      <c r="C30" s="5">
        <f>+'Prihodi - količinski'!D42*'Poslovni prihodi'!$K$30/1000</f>
        <v>35.305199999999999</v>
      </c>
      <c r="D30" s="5">
        <f>+'Prihodi - količinski'!E42*'Poslovni prihodi'!$K$30/1000</f>
        <v>2567.6967599999998</v>
      </c>
      <c r="E30" s="5">
        <f>+'Prihodi - količinski'!F42*'Poslovni prihodi'!$K$30/1000</f>
        <v>3075.5872799999997</v>
      </c>
      <c r="F30" s="5">
        <f>+'Prihodi - količinski'!G42*'Poslovni prihodi'!$K$30/1000</f>
        <v>3331.2977999999998</v>
      </c>
      <c r="G30" s="5">
        <f>+'Prihodi - količinski'!H42*'Poslovni prihodi'!$K$30/1000</f>
        <v>3587.0083199999999</v>
      </c>
      <c r="H30" s="5">
        <f>+'Prihodi - količinski'!I42*'Poslovni prihodi'!$K$30/1000</f>
        <v>4094.8988399999998</v>
      </c>
      <c r="I30" s="5">
        <f>+'Prihodi - količinski'!J42*'Poslovni prihodi'!$K$30/1000</f>
        <v>4350.6093600000004</v>
      </c>
      <c r="J30" s="1">
        <v>0.6</v>
      </c>
      <c r="K30" s="1">
        <f t="shared" si="5"/>
        <v>50.436</v>
      </c>
    </row>
    <row r="31" spans="1:11" x14ac:dyDescent="0.25">
      <c r="A31" s="11"/>
      <c r="B31" s="11" t="s">
        <v>48</v>
      </c>
      <c r="C31" s="5">
        <f>+'Prihodi - količinski'!D43*'Poslovni prihodi'!$K$31/1000</f>
        <v>9.4567500000000013</v>
      </c>
      <c r="D31" s="5">
        <f>+'Prihodi - količinski'!E43*'Poslovni prihodi'!$K$31/1000</f>
        <v>9.8350200000000019</v>
      </c>
      <c r="E31" s="5">
        <f>+'Prihodi - količinski'!F43*'Poslovni prihodi'!$K$31/1000</f>
        <v>10.213290000000001</v>
      </c>
      <c r="F31" s="5">
        <f>+'Prihodi - količinski'!G43*'Poslovni prihodi'!$K$31/1000</f>
        <v>10.591560000000001</v>
      </c>
      <c r="G31" s="5">
        <f>+'Prihodi - količinski'!H43*'Poslovni prihodi'!$K$31/1000</f>
        <v>10.969830000000002</v>
      </c>
      <c r="H31" s="5">
        <f>+'Prihodi - količinski'!I43*'Poslovni prihodi'!$K$31/1000</f>
        <v>11.348100000000002</v>
      </c>
      <c r="I31" s="5">
        <f>+'Prihodi - količinski'!J43*'Poslovni prihodi'!$K$31/1000</f>
        <v>11.726370000000001</v>
      </c>
      <c r="J31" s="1">
        <v>0.45</v>
      </c>
      <c r="K31" s="1">
        <f t="shared" si="5"/>
        <v>37.827000000000005</v>
      </c>
    </row>
    <row r="32" spans="1:11" x14ac:dyDescent="0.25">
      <c r="A32" s="11"/>
      <c r="B32" s="11" t="s">
        <v>49</v>
      </c>
      <c r="C32" s="5">
        <f>+'Prihodi - količinski'!D44*'Poslovni prihodi'!$K$32/1000</f>
        <v>322.79040000000003</v>
      </c>
      <c r="D32" s="5">
        <f>+'Prihodi - količinski'!E44*'Poslovni prihodi'!$K$32/1000</f>
        <v>331.53264000000001</v>
      </c>
      <c r="E32" s="5">
        <f>+'Prihodi - količinski'!F44*'Poslovni prihodi'!$K$32/1000</f>
        <v>340.27488</v>
      </c>
      <c r="F32" s="5">
        <f>+'Prihodi - količinski'!G44*'Poslovni prihodi'!$K$32/1000</f>
        <v>349.35336000000007</v>
      </c>
      <c r="G32" s="5">
        <f>+'Prihodi - količinski'!H44*'Poslovni prihodi'!$K$32/1000</f>
        <v>358.09560000000005</v>
      </c>
      <c r="H32" s="5">
        <f>+'Prihodi - količinski'!I44*'Poslovni prihodi'!$K$32/1000</f>
        <v>367.17408</v>
      </c>
      <c r="I32" s="5">
        <f>+'Prihodi - količinski'!J44*'Poslovni prihodi'!$K$32/1000</f>
        <v>378.27</v>
      </c>
      <c r="J32" s="1">
        <v>0.4</v>
      </c>
      <c r="K32" s="1">
        <f t="shared" si="5"/>
        <v>33.624000000000002</v>
      </c>
    </row>
    <row r="33" spans="1:11" x14ac:dyDescent="0.25">
      <c r="A33" s="11"/>
      <c r="B33" s="11" t="s">
        <v>50</v>
      </c>
      <c r="C33" s="5">
        <f>+'Prihodi - količinski'!D45*'Poslovni prihodi'!$K$33/1000</f>
        <v>105.9156</v>
      </c>
      <c r="D33" s="5">
        <f>+'Prihodi - količinski'!E45*'Poslovni prihodi'!$K$33/1000</f>
        <v>108.740016</v>
      </c>
      <c r="E33" s="5">
        <f>+'Prihodi - količinski'!F45*'Poslovni prihodi'!$K$33/1000</f>
        <v>111.917484</v>
      </c>
      <c r="F33" s="5">
        <f>+'Prihodi - količinski'!G45*'Poslovni prihodi'!$K$33/1000</f>
        <v>114.7419</v>
      </c>
      <c r="G33" s="5">
        <f>+'Prihodi - količinski'!H45*'Poslovni prihodi'!$K$33/1000</f>
        <v>118.27242</v>
      </c>
      <c r="H33" s="5">
        <f>+'Prihodi - količinski'!I45*'Poslovni prihodi'!$K$33/1000</f>
        <v>121.80294000000001</v>
      </c>
      <c r="I33" s="5">
        <f>+'Prihodi - količinski'!J45*'Poslovni prihodi'!$K$33/1000</f>
        <v>124.980408</v>
      </c>
      <c r="J33" s="1">
        <v>0.42</v>
      </c>
      <c r="K33" s="1">
        <f t="shared" si="5"/>
        <v>35.305199999999999</v>
      </c>
    </row>
    <row r="34" spans="1:11" x14ac:dyDescent="0.25">
      <c r="A34" s="11"/>
      <c r="B34" s="11" t="s">
        <v>51</v>
      </c>
      <c r="C34" s="5">
        <f>+'Prihodi - količinski'!D48*'Poslovni prihodi'!$K$34/1000</f>
        <v>205.947</v>
      </c>
      <c r="D34" s="5">
        <f>+'Prihodi - količinski'!E48*'Poslovni prihodi'!$K$34/1000</f>
        <v>1006.1981999999999</v>
      </c>
      <c r="E34" s="5">
        <f>+'Prihodi - količinski'!F48*'Poslovni prihodi'!$K$34/1000</f>
        <v>1100.3453999999999</v>
      </c>
      <c r="F34" s="5">
        <f>+'Prihodi - količinski'!G48*'Poslovni prihodi'!$K$34/1000</f>
        <v>1106.2295999999999</v>
      </c>
      <c r="G34" s="5">
        <f>+'Prihodi - količinski'!H48*'Poslovni prihodi'!$K$34/1000</f>
        <v>1112.1138000000001</v>
      </c>
      <c r="H34" s="5">
        <f>+'Prihodi - količinski'!I48*'Poslovni prihodi'!$K$34/1000</f>
        <v>1117.998</v>
      </c>
      <c r="I34" s="5">
        <f>+'Prihodi - količinski'!J48*'Poslovni prihodi'!$K$34/1000</f>
        <v>1123.8822</v>
      </c>
      <c r="J34" s="1">
        <v>0.7</v>
      </c>
      <c r="K34" s="1">
        <f t="shared" si="5"/>
        <v>58.841999999999999</v>
      </c>
    </row>
    <row r="35" spans="1:11" x14ac:dyDescent="0.25">
      <c r="A35" s="11"/>
      <c r="B35" s="11" t="s">
        <v>52</v>
      </c>
      <c r="C35" s="5">
        <f>+'Prihodi - količinski'!D49*'Poslovni prihodi'!$K$35/1000</f>
        <v>0</v>
      </c>
      <c r="D35" s="5">
        <f>+'Prihodi - količinski'!E49*'Poslovni prihodi'!$K$35/1000</f>
        <v>805.96728000000007</v>
      </c>
      <c r="E35" s="5">
        <f>+'Prihodi - količinski'!F49*'Poslovni prihodi'!$K$35/1000</f>
        <v>1324.70154</v>
      </c>
      <c r="F35" s="5">
        <f>+'Prihodi - količinski'!G49*'Poslovni prihodi'!$K$35/1000</f>
        <v>1671.9534000000001</v>
      </c>
      <c r="G35" s="5">
        <f>+'Prihodi - količinski'!H49*'Poslovni prihodi'!$K$35/1000</f>
        <v>2019.2052600000002</v>
      </c>
      <c r="H35" s="5">
        <f>+'Prihodi - količinski'!I49*'Poslovni prihodi'!$K$35/1000</f>
        <v>2366.45712</v>
      </c>
      <c r="I35" s="5">
        <f>+'Prihodi - količinski'!J49*'Poslovni prihodi'!$K$35/1000</f>
        <v>2713.7089799999999</v>
      </c>
      <c r="J35" s="1">
        <v>1.02</v>
      </c>
      <c r="K35" s="1">
        <f t="shared" si="5"/>
        <v>85.741200000000006</v>
      </c>
    </row>
    <row r="36" spans="1:11" x14ac:dyDescent="0.25">
      <c r="A36" s="11"/>
      <c r="B36" s="11" t="s">
        <v>53</v>
      </c>
      <c r="C36" s="5">
        <f>+'Prihodi - količinski'!D50*'Poslovni prihodi'!$K$36/1000</f>
        <v>134.49600000000001</v>
      </c>
      <c r="D36" s="5">
        <f>+'Prihodi - količinski'!E50*'Poslovni prihodi'!$K$36/1000</f>
        <v>137.85840000000002</v>
      </c>
      <c r="E36" s="5">
        <f>+'Prihodi - količinski'!F50*'Poslovni prihodi'!$K$36/1000</f>
        <v>141.22080000000003</v>
      </c>
      <c r="F36" s="5">
        <f>+'Prihodi - količinski'!G50*'Poslovni prihodi'!$K$36/1000</f>
        <v>145.25568000000001</v>
      </c>
      <c r="G36" s="5">
        <f>+'Prihodi - količinski'!H50*'Poslovni prihodi'!$K$36/1000</f>
        <v>149.29056</v>
      </c>
      <c r="H36" s="5">
        <f>+'Prihodi - količinski'!I50*'Poslovni prihodi'!$K$36/1000</f>
        <v>154.67040000000003</v>
      </c>
      <c r="I36" s="5">
        <f>+'Prihodi - količinski'!J50*'Poslovni prihodi'!$K$36/1000</f>
        <v>160.05024000000003</v>
      </c>
      <c r="J36" s="1">
        <v>0.8</v>
      </c>
      <c r="K36" s="1">
        <f t="shared" si="5"/>
        <v>67.248000000000005</v>
      </c>
    </row>
    <row r="37" spans="1:11" x14ac:dyDescent="0.25">
      <c r="A37" s="11"/>
      <c r="B37" s="11" t="s">
        <v>54</v>
      </c>
      <c r="C37" s="5">
        <f>+'Prihodi - količinski'!D51*'Poslovni prihodi'!$K$37/1000</f>
        <v>52.117200000000004</v>
      </c>
      <c r="D37" s="5">
        <f>+'Prihodi - količinski'!E51*'Poslovni prihodi'!$K$37/1000</f>
        <v>1695.3725160000001</v>
      </c>
      <c r="E37" s="5">
        <f>+'Prihodi - količinski'!F51*'Poslovni prihodi'!$K$37/1000</f>
        <v>2244.1666320000004</v>
      </c>
      <c r="F37" s="5">
        <f>+'Prihodi - količinski'!G51*'Poslovni prihodi'!$K$37/1000</f>
        <v>2407.2934680000003</v>
      </c>
      <c r="G37" s="5">
        <f>+'Prihodi - količinski'!H51*'Poslovni prihodi'!$K$37/1000</f>
        <v>2570.4203040000002</v>
      </c>
      <c r="H37" s="5">
        <f>+'Prihodi - količinski'!I51*'Poslovni prihodi'!$K$37/1000</f>
        <v>2733.0259680000004</v>
      </c>
      <c r="I37" s="5">
        <f>+'Prihodi - količinski'!J51*'Poslovni prihodi'!$K$37/1000</f>
        <v>2897.7163200000005</v>
      </c>
      <c r="J37" s="1">
        <v>0.62</v>
      </c>
      <c r="K37" s="1">
        <f t="shared" si="5"/>
        <v>52.117200000000004</v>
      </c>
    </row>
    <row r="38" spans="1:11" x14ac:dyDescent="0.25">
      <c r="A38" s="11"/>
      <c r="B38" s="11" t="s">
        <v>55</v>
      </c>
      <c r="C38" s="5">
        <f>+'Prihodi - količinski'!D54*'Poslovni prihodi'!$K$38/1000</f>
        <v>662.81309999999996</v>
      </c>
      <c r="D38" s="5">
        <f>+'Prihodi - količinski'!E54*'Poslovni prihodi'!$K$38/1000</f>
        <v>679.55785200000003</v>
      </c>
      <c r="E38" s="5">
        <f>+'Prihodi - količinski'!F54*'Poslovni prihodi'!$K$38/1000</f>
        <v>696.30260400000009</v>
      </c>
      <c r="F38" s="5">
        <f>+'Prihodi - količinski'!G54*'Poslovni prihodi'!$K$38/1000</f>
        <v>713.04735600000004</v>
      </c>
      <c r="G38" s="5">
        <f>+'Prihodi - količinski'!H54*'Poslovni prihodi'!$K$38/1000</f>
        <v>729.79210799999998</v>
      </c>
      <c r="H38" s="5">
        <f>+'Prihodi - količinski'!I54*'Poslovni prihodi'!$K$38/1000</f>
        <v>747.23455800000011</v>
      </c>
      <c r="I38" s="5">
        <f>+'Prihodi - količinski'!J54*'Poslovni prihodi'!$K$38/1000</f>
        <v>764.677008</v>
      </c>
      <c r="J38" s="1">
        <v>0.83</v>
      </c>
      <c r="K38" s="1">
        <f t="shared" si="5"/>
        <v>69.769800000000004</v>
      </c>
    </row>
    <row r="39" spans="1:11" x14ac:dyDescent="0.25">
      <c r="A39" s="11"/>
      <c r="B39" s="11" t="s">
        <v>56</v>
      </c>
      <c r="C39" s="5">
        <f>+'Prihodi - količinski'!D55*'Poslovni prihodi'!$K$39/1000</f>
        <v>101.71260000000001</v>
      </c>
      <c r="D39" s="5">
        <f>+'Prihodi - količinski'!E55*'Poslovni prihodi'!$K$39/1000</f>
        <v>108.18522000000002</v>
      </c>
      <c r="E39" s="5">
        <f>+'Prihodi - količinski'!F55*'Poslovni prihodi'!$K$39/1000</f>
        <v>114.65784000000001</v>
      </c>
      <c r="F39" s="5">
        <f>+'Prihodi - količinski'!G55*'Poslovni prihodi'!$K$39/1000</f>
        <v>122.05512000000002</v>
      </c>
      <c r="G39" s="5">
        <f>+'Prihodi - količinski'!H55*'Poslovni prihodi'!$K$39/1000</f>
        <v>129.45240000000001</v>
      </c>
      <c r="H39" s="5">
        <f>+'Prihodi - količinski'!I55*'Poslovni prihodi'!$K$39/1000</f>
        <v>136.84968000000003</v>
      </c>
      <c r="I39" s="5">
        <f>+'Prihodi - količinski'!J55*'Poslovni prihodi'!$K$39/1000</f>
        <v>144.24696000000003</v>
      </c>
      <c r="J39" s="1">
        <v>1.1000000000000001</v>
      </c>
      <c r="K39" s="1">
        <f t="shared" si="5"/>
        <v>92.466000000000008</v>
      </c>
    </row>
    <row r="40" spans="1:11" x14ac:dyDescent="0.25">
      <c r="A40" s="11"/>
      <c r="B40" s="11" t="s">
        <v>57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11" x14ac:dyDescent="0.25">
      <c r="A41" s="11"/>
      <c r="B41" s="11"/>
    </row>
    <row r="42" spans="1:11" ht="15.75" thickBot="1" x14ac:dyDescent="0.35">
      <c r="B42" s="23" t="s">
        <v>58</v>
      </c>
      <c r="C42" s="24">
        <f>+C4+C8</f>
        <v>226161.52974999999</v>
      </c>
      <c r="D42" s="24">
        <f t="shared" ref="D42:I42" si="6">+D4+D8</f>
        <v>251963.50559199997</v>
      </c>
      <c r="E42" s="24">
        <f t="shared" si="6"/>
        <v>263344.856791</v>
      </c>
      <c r="F42" s="24">
        <f t="shared" si="6"/>
        <v>272685.49000774999</v>
      </c>
      <c r="G42" s="24">
        <f t="shared" si="6"/>
        <v>282913.4899399025</v>
      </c>
      <c r="H42" s="24">
        <f t="shared" si="6"/>
        <v>292789.17909197661</v>
      </c>
      <c r="I42" s="24">
        <f t="shared" si="6"/>
        <v>302724.86033103982</v>
      </c>
    </row>
    <row r="43" spans="1:11" ht="14.25" thickTop="1" x14ac:dyDescent="0.25"/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2:L33"/>
  <sheetViews>
    <sheetView workbookViewId="0">
      <selection activeCell="C18" sqref="C18"/>
    </sheetView>
  </sheetViews>
  <sheetFormatPr defaultRowHeight="13.5" x14ac:dyDescent="0.25"/>
  <cols>
    <col min="1" max="1" width="9.140625" style="1"/>
    <col min="2" max="2" width="39.7109375" style="1" bestFit="1" customWidth="1"/>
    <col min="3" max="3" width="10.28515625" style="1" bestFit="1" customWidth="1"/>
    <col min="4" max="4" width="11" style="1" bestFit="1" customWidth="1"/>
    <col min="5" max="5" width="9.140625" style="1"/>
    <col min="6" max="6" width="13.7109375" style="1" bestFit="1" customWidth="1"/>
    <col min="7" max="8" width="9.140625" style="1"/>
    <col min="9" max="9" width="14" style="1" bestFit="1" customWidth="1"/>
    <col min="10" max="10" width="9.140625" style="1"/>
    <col min="11" max="11" width="10.42578125" style="1" bestFit="1" customWidth="1"/>
    <col min="12" max="16384" width="9.140625" style="1"/>
  </cols>
  <sheetData>
    <row r="2" spans="3:12" x14ac:dyDescent="0.25">
      <c r="D2" s="1" t="s">
        <v>60</v>
      </c>
      <c r="E2" s="1" t="s">
        <v>61</v>
      </c>
      <c r="F2" s="1" t="s">
        <v>62</v>
      </c>
      <c r="I2" s="1" t="s">
        <v>76</v>
      </c>
      <c r="K2" s="1" t="s">
        <v>77</v>
      </c>
    </row>
    <row r="3" spans="3:12" x14ac:dyDescent="0.25">
      <c r="C3" s="1" t="s">
        <v>69</v>
      </c>
      <c r="D3" s="25"/>
      <c r="E3" s="26"/>
      <c r="F3" s="26"/>
      <c r="G3" s="1" t="s">
        <v>71</v>
      </c>
    </row>
    <row r="4" spans="3:12" x14ac:dyDescent="0.25">
      <c r="D4" s="27">
        <v>15000</v>
      </c>
      <c r="E4" s="26" t="s">
        <v>64</v>
      </c>
      <c r="F4" s="28">
        <v>3.15E-2</v>
      </c>
      <c r="I4" s="1">
        <v>131</v>
      </c>
      <c r="J4" s="29">
        <f>+(1+F4/365)^(I4/365)-1</f>
        <v>3.0973059493621946E-5</v>
      </c>
      <c r="K4" s="25">
        <f>D4*F4/365*I4</f>
        <v>169.58219178082192</v>
      </c>
      <c r="L4" s="27">
        <f>K4*84.06</f>
        <v>14255.079041095891</v>
      </c>
    </row>
    <row r="5" spans="3:12" x14ac:dyDescent="0.25">
      <c r="C5" s="1" t="s">
        <v>59</v>
      </c>
      <c r="D5" s="11"/>
      <c r="G5" s="1" t="s">
        <v>65</v>
      </c>
      <c r="K5" s="25"/>
      <c r="L5" s="27"/>
    </row>
    <row r="6" spans="3:12" x14ac:dyDescent="0.25">
      <c r="D6" s="27">
        <v>12000</v>
      </c>
      <c r="E6" s="26" t="s">
        <v>64</v>
      </c>
      <c r="F6" s="28">
        <v>3.15E-2</v>
      </c>
      <c r="I6" s="1">
        <v>99</v>
      </c>
      <c r="J6" s="29">
        <f>(1+F6/365)^(I6/365)-1</f>
        <v>2.34070327493896E-5</v>
      </c>
      <c r="K6" s="25">
        <f>D6*F6/365*I6</f>
        <v>102.52602739726026</v>
      </c>
      <c r="L6" s="27">
        <f t="shared" ref="L6:L12" si="0">K6*84.06</f>
        <v>8618.3378630136976</v>
      </c>
    </row>
    <row r="7" spans="3:12" x14ac:dyDescent="0.25">
      <c r="C7" s="1" t="s">
        <v>68</v>
      </c>
      <c r="D7" s="11"/>
      <c r="G7" s="1" t="s">
        <v>70</v>
      </c>
      <c r="J7" s="29"/>
      <c r="K7" s="25"/>
      <c r="L7" s="27"/>
    </row>
    <row r="8" spans="3:12" x14ac:dyDescent="0.25">
      <c r="D8" s="27">
        <v>17000</v>
      </c>
      <c r="E8" s="26" t="s">
        <v>64</v>
      </c>
      <c r="F8" s="28">
        <v>3.15E-2</v>
      </c>
      <c r="I8" s="1">
        <v>123</v>
      </c>
      <c r="J8" s="29">
        <f>(1+F8/365)^(I8/365)-1</f>
        <v>2.9081547440856781E-5</v>
      </c>
      <c r="K8" s="25">
        <f>D8*F8/365*I8</f>
        <v>180.45616438356163</v>
      </c>
      <c r="L8" s="27">
        <f t="shared" si="0"/>
        <v>15169.145178082192</v>
      </c>
    </row>
    <row r="9" spans="3:12" x14ac:dyDescent="0.25">
      <c r="C9" s="1" t="s">
        <v>66</v>
      </c>
      <c r="D9" s="11"/>
      <c r="G9" s="1" t="s">
        <v>67</v>
      </c>
      <c r="J9" s="29"/>
      <c r="K9" s="25"/>
      <c r="L9" s="27"/>
    </row>
    <row r="10" spans="3:12" x14ac:dyDescent="0.25">
      <c r="D10" s="27">
        <v>20000</v>
      </c>
      <c r="E10" s="26" t="s">
        <v>64</v>
      </c>
      <c r="F10" s="28">
        <v>3.15E-2</v>
      </c>
      <c r="I10" s="1">
        <v>111</v>
      </c>
      <c r="J10" s="29">
        <f>(1+F10/365)^(I10/365)-1</f>
        <v>2.6244286070120637E-5</v>
      </c>
      <c r="K10" s="25">
        <f>D10*F10/365*I10</f>
        <v>191.58904109589042</v>
      </c>
      <c r="L10" s="27">
        <f t="shared" si="0"/>
        <v>16104.974794520549</v>
      </c>
    </row>
    <row r="11" spans="3:12" x14ac:dyDescent="0.25">
      <c r="C11" s="1" t="s">
        <v>63</v>
      </c>
      <c r="D11" s="11"/>
      <c r="G11" s="1" t="s">
        <v>72</v>
      </c>
      <c r="J11" s="29"/>
      <c r="K11" s="25"/>
      <c r="L11" s="27"/>
    </row>
    <row r="12" spans="3:12" x14ac:dyDescent="0.25">
      <c r="D12" s="30">
        <v>15000</v>
      </c>
      <c r="E12" s="26" t="str">
        <f>+E6</f>
        <v>2 m</v>
      </c>
      <c r="F12" s="28">
        <f>+F6</f>
        <v>3.15E-2</v>
      </c>
      <c r="I12" s="1">
        <v>85</v>
      </c>
      <c r="J12" s="29">
        <f>(1+F12/365)^(I12/365)-1</f>
        <v>2.0096914049139158E-5</v>
      </c>
      <c r="K12" s="25">
        <f>D12*F12/365*I12</f>
        <v>110.03424657534246</v>
      </c>
      <c r="L12" s="30">
        <f t="shared" si="0"/>
        <v>9249.478767123288</v>
      </c>
    </row>
    <row r="13" spans="3:12" x14ac:dyDescent="0.25">
      <c r="D13" s="25">
        <f>SUM(D4:D12)</f>
        <v>79000</v>
      </c>
      <c r="L13" s="5">
        <f>SUM(L4:L12)</f>
        <v>63397.015643835621</v>
      </c>
    </row>
    <row r="16" spans="3:12" x14ac:dyDescent="0.25">
      <c r="C16" s="1" t="s">
        <v>67</v>
      </c>
      <c r="G16" s="1" t="s">
        <v>73</v>
      </c>
    </row>
    <row r="17" spans="2:8" x14ac:dyDescent="0.25">
      <c r="D17" s="25">
        <v>1000000</v>
      </c>
      <c r="E17" s="26" t="s">
        <v>64</v>
      </c>
      <c r="F17" s="28">
        <v>8.5800000000000001E-2</v>
      </c>
    </row>
    <row r="18" spans="2:8" x14ac:dyDescent="0.25">
      <c r="C18" s="1" t="s">
        <v>74</v>
      </c>
      <c r="D18" s="25"/>
      <c r="E18" s="26"/>
      <c r="F18" s="26"/>
      <c r="G18" s="1" t="s">
        <v>75</v>
      </c>
    </row>
    <row r="19" spans="2:8" x14ac:dyDescent="0.25">
      <c r="D19" s="25">
        <v>700000</v>
      </c>
      <c r="E19" s="26" t="s">
        <v>64</v>
      </c>
      <c r="F19" s="28">
        <v>8.1299999999999997E-2</v>
      </c>
    </row>
    <row r="23" spans="2:8" ht="15" x14ac:dyDescent="0.3">
      <c r="C23" s="31">
        <v>2007</v>
      </c>
      <c r="D23" s="31">
        <v>2008</v>
      </c>
      <c r="E23" s="31">
        <v>2009</v>
      </c>
      <c r="F23" s="31">
        <v>2010</v>
      </c>
      <c r="G23" s="31">
        <v>2011</v>
      </c>
      <c r="H23" s="31">
        <v>2012</v>
      </c>
    </row>
    <row r="25" spans="2:8" x14ac:dyDescent="0.25">
      <c r="B25" s="1" t="s">
        <v>78</v>
      </c>
      <c r="C25" s="5">
        <f>L13</f>
        <v>63397.015643835621</v>
      </c>
      <c r="D25" s="27">
        <f>+D13*3.15%*84.06</f>
        <v>209183.31</v>
      </c>
      <c r="E25" s="25">
        <f>+D25</f>
        <v>209183.31</v>
      </c>
      <c r="F25" s="25">
        <f>+E25</f>
        <v>209183.31</v>
      </c>
      <c r="G25" s="25">
        <f>+F25</f>
        <v>209183.31</v>
      </c>
      <c r="H25" s="25">
        <f>+G25</f>
        <v>209183.31</v>
      </c>
    </row>
    <row r="27" spans="2:8" ht="15" x14ac:dyDescent="0.3">
      <c r="B27" s="59" t="s">
        <v>231</v>
      </c>
      <c r="C27" s="60">
        <f t="shared" ref="C27:H27" si="1">C25/1000</f>
        <v>63.397015643835623</v>
      </c>
      <c r="D27" s="60">
        <f t="shared" si="1"/>
        <v>209.18331000000001</v>
      </c>
      <c r="E27" s="60">
        <f t="shared" si="1"/>
        <v>209.18331000000001</v>
      </c>
      <c r="F27" s="60">
        <f t="shared" si="1"/>
        <v>209.18331000000001</v>
      </c>
      <c r="G27" s="60">
        <f t="shared" si="1"/>
        <v>209.18331000000001</v>
      </c>
      <c r="H27" s="60">
        <f t="shared" si="1"/>
        <v>209.18331000000001</v>
      </c>
    </row>
    <row r="29" spans="2:8" ht="15" x14ac:dyDescent="0.3">
      <c r="B29" s="59" t="s">
        <v>232</v>
      </c>
      <c r="C29" s="63">
        <v>147.07226947072448</v>
      </c>
      <c r="D29" s="63">
        <v>131.93119204710578</v>
      </c>
      <c r="E29" s="63">
        <v>118.57580435063043</v>
      </c>
      <c r="F29" s="63">
        <v>104.92056164340988</v>
      </c>
      <c r="G29" s="63">
        <v>90.954798996386344</v>
      </c>
      <c r="H29" s="63">
        <v>77.138835711472083</v>
      </c>
    </row>
    <row r="31" spans="2:8" ht="15.75" thickBot="1" x14ac:dyDescent="0.35">
      <c r="B31" s="23" t="s">
        <v>233</v>
      </c>
      <c r="C31" s="64">
        <f t="shared" ref="C31:H31" si="2">+C27+C29</f>
        <v>210.46928511456011</v>
      </c>
      <c r="D31" s="64">
        <f t="shared" si="2"/>
        <v>341.11450204710582</v>
      </c>
      <c r="E31" s="64">
        <f t="shared" si="2"/>
        <v>327.75911435063045</v>
      </c>
      <c r="F31" s="64">
        <f t="shared" si="2"/>
        <v>314.10387164340989</v>
      </c>
      <c r="G31" s="64">
        <f t="shared" si="2"/>
        <v>300.13810899638634</v>
      </c>
      <c r="H31" s="64">
        <f t="shared" si="2"/>
        <v>286.3221457114721</v>
      </c>
    </row>
    <row r="32" spans="2:8" ht="14.25" thickTop="1" x14ac:dyDescent="0.25"/>
    <row r="33" spans="2:5" x14ac:dyDescent="0.25">
      <c r="B33" s="1" t="s">
        <v>198</v>
      </c>
      <c r="E33" s="1">
        <v>8055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2:I5"/>
  <sheetViews>
    <sheetView workbookViewId="0">
      <selection activeCell="C2" sqref="C2:I2"/>
    </sheetView>
  </sheetViews>
  <sheetFormatPr defaultRowHeight="13.5" x14ac:dyDescent="0.25"/>
  <cols>
    <col min="1" max="1" width="9.140625" style="1"/>
    <col min="2" max="2" width="35.7109375" style="1" bestFit="1" customWidth="1"/>
    <col min="3" max="3" width="8.42578125" style="1" customWidth="1"/>
    <col min="4" max="16384" width="9.140625" style="1"/>
  </cols>
  <sheetData>
    <row r="2" spans="2:9" ht="15" x14ac:dyDescent="0.3">
      <c r="C2" s="8">
        <v>2014</v>
      </c>
      <c r="D2" s="8">
        <f>+C2+1</f>
        <v>2015</v>
      </c>
      <c r="E2" s="8">
        <f t="shared" ref="E2:I2" si="0">+D2+1</f>
        <v>2016</v>
      </c>
      <c r="F2" s="8">
        <f t="shared" si="0"/>
        <v>2017</v>
      </c>
      <c r="G2" s="8">
        <f t="shared" si="0"/>
        <v>2018</v>
      </c>
      <c r="H2" s="8">
        <f t="shared" si="0"/>
        <v>2019</v>
      </c>
      <c r="I2" s="8">
        <f t="shared" si="0"/>
        <v>2020</v>
      </c>
    </row>
    <row r="3" spans="2:9" x14ac:dyDescent="0.25">
      <c r="B3" s="1" t="s">
        <v>229</v>
      </c>
      <c r="C3" s="5">
        <v>4821</v>
      </c>
      <c r="D3" s="15">
        <v>4821</v>
      </c>
      <c r="E3" s="15">
        <v>4821</v>
      </c>
      <c r="F3" s="15">
        <v>4821</v>
      </c>
      <c r="G3" s="15">
        <v>4821</v>
      </c>
      <c r="H3" s="15">
        <v>4821</v>
      </c>
      <c r="I3" s="15">
        <v>4821</v>
      </c>
    </row>
    <row r="4" spans="2:9" x14ac:dyDescent="0.25">
      <c r="B4" s="1" t="s">
        <v>230</v>
      </c>
      <c r="D4" s="3">
        <v>3942</v>
      </c>
      <c r="E4" s="3">
        <v>3564</v>
      </c>
      <c r="F4" s="3">
        <v>3178</v>
      </c>
      <c r="G4" s="3">
        <v>2783</v>
      </c>
      <c r="H4" s="3">
        <v>2379</v>
      </c>
      <c r="I4" s="3">
        <v>1893</v>
      </c>
    </row>
    <row r="5" spans="2:9" ht="15" x14ac:dyDescent="0.3">
      <c r="B5" s="2" t="s">
        <v>242</v>
      </c>
      <c r="C5" s="2"/>
      <c r="D5" s="62">
        <f t="shared" ref="D5:I5" si="1">D3+D4</f>
        <v>8763</v>
      </c>
      <c r="E5" s="62">
        <f t="shared" si="1"/>
        <v>8385</v>
      </c>
      <c r="F5" s="62">
        <f t="shared" si="1"/>
        <v>7999</v>
      </c>
      <c r="G5" s="62">
        <f t="shared" si="1"/>
        <v>7604</v>
      </c>
      <c r="H5" s="62">
        <f t="shared" si="1"/>
        <v>7200</v>
      </c>
      <c r="I5" s="62">
        <f t="shared" si="1"/>
        <v>6714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C3:J30"/>
  <sheetViews>
    <sheetView workbookViewId="0">
      <selection activeCell="D3" sqref="D3:I3"/>
    </sheetView>
  </sheetViews>
  <sheetFormatPr defaultRowHeight="13.5" x14ac:dyDescent="0.25"/>
  <cols>
    <col min="1" max="2" width="9.140625" style="1"/>
    <col min="3" max="3" width="36.140625" style="1" bestFit="1" customWidth="1"/>
    <col min="4" max="4" width="11" style="1" bestFit="1" customWidth="1"/>
    <col min="5" max="16384" width="9.140625" style="1"/>
  </cols>
  <sheetData>
    <row r="3" spans="3:10" ht="15" x14ac:dyDescent="0.3">
      <c r="C3" s="74">
        <v>2014</v>
      </c>
      <c r="D3" s="8">
        <f>+C3+1</f>
        <v>2015</v>
      </c>
      <c r="E3" s="8">
        <f t="shared" ref="E3:I3" si="0">+D3+1</f>
        <v>2016</v>
      </c>
      <c r="F3" s="8">
        <f t="shared" si="0"/>
        <v>2017</v>
      </c>
      <c r="G3" s="8">
        <f t="shared" si="0"/>
        <v>2018</v>
      </c>
      <c r="H3" s="8">
        <f t="shared" si="0"/>
        <v>2019</v>
      </c>
      <c r="I3" s="8">
        <f t="shared" si="0"/>
        <v>2020</v>
      </c>
    </row>
    <row r="5" spans="3:10" ht="15" x14ac:dyDescent="0.3">
      <c r="C5" s="2" t="s">
        <v>82</v>
      </c>
      <c r="D5" s="3">
        <f>'Poslovni prihodi'!D4*'Poslovni rashodi'!$J$5</f>
        <v>10174.171619999999</v>
      </c>
      <c r="E5" s="3">
        <f>'Poslovni prihodi'!E4*'Poslovni rashodi'!$J$5</f>
        <v>10790.001540000001</v>
      </c>
      <c r="F5" s="3">
        <f>'Poslovni prihodi'!F4*'Poslovni rashodi'!$J$5</f>
        <v>11452.587600000001</v>
      </c>
      <c r="G5" s="3">
        <f>'Poslovni prihodi'!G4*'Poslovni rashodi'!$J$5</f>
        <v>12146.818500000001</v>
      </c>
      <c r="H5" s="3">
        <f>'Poslovni prihodi'!H4*'Poslovni rashodi'!$J$5</f>
        <v>12880.161</v>
      </c>
      <c r="I5" s="3">
        <f>'Poslovni prihodi'!I4*'Poslovni rashodi'!$J$5</f>
        <v>13660.79298</v>
      </c>
      <c r="J5" s="1">
        <v>0.88890000000000002</v>
      </c>
    </row>
    <row r="6" spans="3:10" ht="15" x14ac:dyDescent="0.3">
      <c r="C6" s="2" t="s">
        <v>83</v>
      </c>
      <c r="D6" s="32">
        <f t="shared" ref="D6:I6" si="1">+D7+D23+D24</f>
        <v>146141.14840000001</v>
      </c>
      <c r="E6" s="32">
        <f t="shared" si="1"/>
        <v>152106.79781899997</v>
      </c>
      <c r="F6" s="32">
        <f t="shared" si="1"/>
        <v>157114.41384152998</v>
      </c>
      <c r="G6" s="32">
        <f t="shared" si="1"/>
        <v>162480.50411226309</v>
      </c>
      <c r="H6" s="32">
        <f t="shared" si="1"/>
        <v>167764.24580230736</v>
      </c>
      <c r="I6" s="32">
        <f t="shared" si="1"/>
        <v>173040.42014907682</v>
      </c>
    </row>
    <row r="7" spans="3:10" ht="15" x14ac:dyDescent="0.3">
      <c r="C7" s="2" t="s">
        <v>84</v>
      </c>
      <c r="D7" s="3">
        <f t="shared" ref="D7:I7" si="2">SUM(D8:D22)</f>
        <v>137490.14840000001</v>
      </c>
      <c r="E7" s="3">
        <f t="shared" si="2"/>
        <v>143360.79781899997</v>
      </c>
      <c r="F7" s="3">
        <f t="shared" si="2"/>
        <v>148146.41384152998</v>
      </c>
      <c r="G7" s="3">
        <f t="shared" si="2"/>
        <v>153255.50411226309</v>
      </c>
      <c r="H7" s="3">
        <f t="shared" si="2"/>
        <v>158306.24580230736</v>
      </c>
      <c r="I7" s="3">
        <f t="shared" si="2"/>
        <v>163350.42014907682</v>
      </c>
    </row>
    <row r="8" spans="3:10" x14ac:dyDescent="0.25">
      <c r="C8" s="11" t="s">
        <v>27</v>
      </c>
      <c r="D8" s="5">
        <f>('Prihodi - količinski'!E7+'Prihodi - količinski'!E36)*'Poslovni rashodi'!$J$8/1000</f>
        <v>38439.290999999997</v>
      </c>
      <c r="E8" s="5">
        <f>('Prihodi - količinski'!F7+'Prihodi - količinski'!F36)*'Poslovni rashodi'!$J$8/1000</f>
        <v>40142.006651999996</v>
      </c>
      <c r="F8" s="5">
        <f>('Prihodi - količinski'!G7+'Prihodi - količinski'!G36)*'Poslovni rashodi'!$J$8/1000</f>
        <v>41216.37797904</v>
      </c>
      <c r="G8" s="5">
        <f>('Prihodi - količinski'!H7+'Prihodi - količinski'!H36)*'Poslovni rashodi'!$J$8/1000</f>
        <v>42378.648440620796</v>
      </c>
      <c r="H8" s="5">
        <f>('Prihodi - količinski'!I7+'Prihodi - količinski'!I36)*'Poslovni rashodi'!$J$8/1000</f>
        <v>43555.277015433217</v>
      </c>
      <c r="I8" s="5">
        <f>('Prihodi - količinski'!J7+'Prihodi - količinski'!J36)*'Poslovni rashodi'!$J$8/1000</f>
        <v>44739.555591741882</v>
      </c>
      <c r="J8" s="1">
        <f>85.94+0.85</f>
        <v>86.789999999999992</v>
      </c>
    </row>
    <row r="9" spans="3:10" x14ac:dyDescent="0.25">
      <c r="C9" s="11" t="s">
        <v>28</v>
      </c>
      <c r="D9" s="5">
        <f>('Prihodi - količinski'!E37+'Prihodi - količinski'!E8)*'Poslovni rashodi'!$J$9/1000</f>
        <v>54483.484000000004</v>
      </c>
      <c r="E9" s="5">
        <f>('Prihodi - količinski'!F37+'Prihodi - količinski'!F8)*'Poslovni rashodi'!$J$9/1000</f>
        <v>55813.39510400001</v>
      </c>
      <c r="F9" s="5">
        <f>('Prihodi - količinski'!G37+'Prihodi - količinski'!G8)*'Poslovni rashodi'!$J$9/1000</f>
        <v>57283.426094080009</v>
      </c>
      <c r="G9" s="5">
        <f>('Prihodi - količinski'!H37+'Prihodi - količinski'!H8)*'Poslovni rashodi'!$J$9/1000</f>
        <v>58695.521783961609</v>
      </c>
      <c r="H9" s="5">
        <f>('Prihodi - količinski'!I37+'Prihodi - količinski'!I8)*'Poslovni rashodi'!$J$9/1000</f>
        <v>60131.229531640842</v>
      </c>
      <c r="I9" s="5">
        <f>('Prihodi - količinski'!J37+'Prihodi - količinski'!J8)*'Poslovni rashodi'!$J$9/1000</f>
        <v>61590.93138627366</v>
      </c>
      <c r="J9" s="1">
        <f>148.74+1.58</f>
        <v>150.32000000000002</v>
      </c>
    </row>
    <row r="10" spans="3:10" x14ac:dyDescent="0.25">
      <c r="C10" s="11" t="s">
        <v>29</v>
      </c>
      <c r="D10" s="5">
        <f>('Prihodi - količinski'!E9+'Prihodi - količinski'!E38)*'Poslovni rashodi'!$J10/1000</f>
        <v>22475.848800000003</v>
      </c>
      <c r="E10" s="5">
        <f>('Prihodi - količinski'!F9+'Prihodi - količinski'!F38)*'Poslovni rashodi'!$J10/1000</f>
        <v>23091.181608000006</v>
      </c>
      <c r="F10" s="5">
        <f>('Prihodi - količinski'!G9+'Prihodi - količinski'!G38)*'Poslovni rashodi'!$J10/1000</f>
        <v>23663.047376160008</v>
      </c>
      <c r="G10" s="5">
        <f>('Prihodi - količinski'!H9+'Prihodi - količinski'!H38)*'Poslovni rashodi'!$J10/1000</f>
        <v>24220.655475683208</v>
      </c>
      <c r="H10" s="5">
        <f>('Prihodi - količinski'!I9+'Prihodi - količinski'!I38)*'Poslovni rashodi'!$J10/1000</f>
        <v>24786.616489196873</v>
      </c>
      <c r="I10" s="5">
        <f>('Prihodi - količinski'!J9+'Prihodi - količinski'!J38)*'Poslovni rashodi'!$J10/1000</f>
        <v>25363.738274980813</v>
      </c>
      <c r="J10" s="1">
        <f>130.74+1.3</f>
        <v>132.04000000000002</v>
      </c>
    </row>
    <row r="11" spans="3:10" x14ac:dyDescent="0.25">
      <c r="C11" s="11" t="s">
        <v>30</v>
      </c>
      <c r="D11" s="5">
        <f>('Prihodi - količinski'!E12+'Prihodi - količinski'!E41)*'Poslovni rashodi'!$J$11/1000</f>
        <v>2284.2943999999998</v>
      </c>
      <c r="E11" s="5">
        <f>('Prihodi - količinski'!F12+'Prihodi - količinski'!F41)*'Poslovni rashodi'!$J$11/1000</f>
        <v>2394.1549799999998</v>
      </c>
      <c r="F11" s="5">
        <f>('Prihodi - količinski'!G12+'Prihodi - količinski'!G41)*'Poslovni rashodi'!$J$11/1000</f>
        <v>2509.8640290000003</v>
      </c>
      <c r="G11" s="5">
        <f>('Prihodi - količinski'!H12+'Prihodi - količinski'!H41)*'Poslovni rashodi'!$J$11/1000</f>
        <v>2630.4995504499998</v>
      </c>
      <c r="H11" s="5">
        <f>('Prihodi - količinski'!I12+'Prihodi - količinski'!I41)*'Poslovni rashodi'!$J$11/1000</f>
        <v>2757.5222879725002</v>
      </c>
      <c r="I11" s="5">
        <f>('Prihodi - količinski'!J12+'Prihodi - količinski'!J41)*'Poslovni rashodi'!$J$11/1000</f>
        <v>2890.6295823711248</v>
      </c>
      <c r="J11" s="1">
        <v>59.24</v>
      </c>
    </row>
    <row r="12" spans="3:10" x14ac:dyDescent="0.25">
      <c r="C12" s="11" t="s">
        <v>31</v>
      </c>
      <c r="D12" s="5">
        <f>('Prihodi - količinski'!E13+'Prihodi - količinski'!E42)*'Poslovni rashodi'!$J$12/1000</f>
        <v>3083.5</v>
      </c>
      <c r="E12" s="5">
        <f>('Prihodi - količinski'!F13+'Prihodi - količinski'!F42)*'Poslovni rashodi'!$J$12/1000</f>
        <v>3502.8383800000001</v>
      </c>
      <c r="F12" s="5">
        <f>('Prihodi - količinski'!G13+'Prihodi - količinski'!G42)*'Poslovni rashodi'!$J$12/1000</f>
        <v>3749.2003390000004</v>
      </c>
      <c r="G12" s="5">
        <f>('Prihodi - količinski'!H13+'Prihodi - količinski'!H42)*'Poslovni rashodi'!$J$12/1000</f>
        <v>3998.9470559500005</v>
      </c>
      <c r="H12" s="5">
        <f>('Prihodi - količinski'!I13+'Prihodi - količinski'!I42)*'Poslovni rashodi'!$J$12/1000</f>
        <v>4428.4477687475</v>
      </c>
      <c r="I12" s="5">
        <f>('Prihodi - količinski'!J13+'Prihodi - količinski'!J42)*'Poslovni rashodi'!$J$12/1000</f>
        <v>4685.4801771848752</v>
      </c>
      <c r="J12" s="1">
        <v>35.24</v>
      </c>
    </row>
    <row r="13" spans="3:10" x14ac:dyDescent="0.25">
      <c r="C13" s="11" t="s">
        <v>32</v>
      </c>
      <c r="D13" s="5">
        <f>('Prihodi - količinski'!E14+'Prihodi - količinski'!E43)*'Poslovni rashodi'!$J$13/1000</f>
        <v>1122.6600000000001</v>
      </c>
      <c r="E13" s="5">
        <f>('Prihodi - količinski'!F14+'Prihodi - količinski'!F43)*'Poslovni rashodi'!$J$13/1000</f>
        <v>1178.7346800000003</v>
      </c>
      <c r="F13" s="5">
        <f>('Prihodi - količinski'!G14+'Prihodi - količinski'!G43)*'Poslovni rashodi'!$J$13/1000</f>
        <v>1237.6033740000003</v>
      </c>
      <c r="G13" s="5">
        <f>('Prihodi - količinski'!H14+'Prihodi - količinski'!H43)*'Poslovni rashodi'!$J$13/1000</f>
        <v>1299.4057827000001</v>
      </c>
      <c r="H13" s="5">
        <f>('Prihodi - količinski'!I14+'Prihodi - količinski'!I43)*'Poslovni rashodi'!$J$13/1000</f>
        <v>1364.288591835</v>
      </c>
      <c r="I13" s="5">
        <f>('Prihodi - količinski'!J14+'Prihodi - količinski'!J43)*'Poslovni rashodi'!$J$13/1000</f>
        <v>1432.4058214267502</v>
      </c>
      <c r="J13" s="1">
        <v>19.440000000000001</v>
      </c>
    </row>
    <row r="14" spans="3:10" x14ac:dyDescent="0.25">
      <c r="C14" s="11" t="s">
        <v>33</v>
      </c>
      <c r="D14" s="5">
        <f>('Prihodi - količinski'!E15+'Prihodi - količinski'!E44)*'Poslovni rashodi'!$J$14/1000</f>
        <v>3661.8711999999996</v>
      </c>
      <c r="E14" s="5">
        <f>('Prihodi - količinski'!F15+'Prihodi - količinski'!F44)*'Poslovni rashodi'!$J$14/1000</f>
        <v>3840.1789399999998</v>
      </c>
      <c r="F14" s="5">
        <f>('Prihodi - količinski'!G15+'Prihodi - količinski'!G44)*'Poslovni rashodi'!$J$14/1000</f>
        <v>4027.340447</v>
      </c>
      <c r="G14" s="5">
        <f>('Prihodi - količinski'!H15+'Prihodi - količinski'!H44)*'Poslovni rashodi'!$J$14/1000</f>
        <v>4223.3773393499996</v>
      </c>
      <c r="H14" s="5">
        <f>('Prihodi - količinski'!I15+'Prihodi - količinski'!I44)*'Poslovni rashodi'!$J$14/1000</f>
        <v>4429.1544563175003</v>
      </c>
      <c r="I14" s="5">
        <f>('Prihodi - količinski'!J15+'Prihodi - količinski'!J44)*'Poslovni rashodi'!$J$14/1000</f>
        <v>4646.1755391333754</v>
      </c>
      <c r="J14" s="1">
        <v>20.54</v>
      </c>
    </row>
    <row r="15" spans="3:10" x14ac:dyDescent="0.25">
      <c r="C15" s="11" t="s">
        <v>34</v>
      </c>
      <c r="D15" s="5">
        <f>('Prihodi - količinski'!E16+'Prihodi - količinski'!E45)*'Poslovni rashodi'!$J$15/1000</f>
        <v>1138.6032</v>
      </c>
      <c r="E15" s="5">
        <f>('Prihodi - količinski'!F16+'Prihodi - količinski'!F45)*'Poslovni rashodi'!$J$15/1000</f>
        <v>1194.27</v>
      </c>
      <c r="F15" s="5">
        <f>('Prihodi - količinski'!G16+'Prihodi - količinski'!G45)*'Poslovni rashodi'!$J$15/1000</f>
        <v>1252.43391</v>
      </c>
      <c r="G15" s="5">
        <f>('Prihodi - količinski'!H16+'Prihodi - količinski'!H45)*'Poslovni rashodi'!$J$15/1000</f>
        <v>1313.8218555000001</v>
      </c>
      <c r="H15" s="5">
        <f>('Prihodi - količinski'!I16+'Prihodi - količinski'!I45)*'Poslovni rashodi'!$J$15/1000</f>
        <v>1378.180498275</v>
      </c>
      <c r="I15" s="5">
        <f>('Prihodi - količinski'!J16+'Prihodi - količinski'!J45)*'Poslovni rashodi'!$J$15/1000</f>
        <v>1445.4609731887499</v>
      </c>
      <c r="J15" s="1">
        <v>19.739999999999998</v>
      </c>
    </row>
    <row r="16" spans="3:10" x14ac:dyDescent="0.25">
      <c r="C16" s="11" t="s">
        <v>35</v>
      </c>
      <c r="D16" s="5">
        <f>('Prihodi - količinski'!E19+'Prihodi - količinski'!E48)*'Poslovni rashodi'!$J$16/1000</f>
        <v>2404.5120000000002</v>
      </c>
      <c r="E16" s="5">
        <f>('Prihodi - količinski'!F19+'Prihodi - količinski'!F48)*'Poslovni rashodi'!$J$16/1000</f>
        <v>2359.9839999999999</v>
      </c>
      <c r="F16" s="5">
        <f>('Prihodi - količinski'!G19+'Prihodi - količinski'!G48)*'Poslovni rashodi'!$J$16/1000</f>
        <v>2250.6880000000001</v>
      </c>
      <c r="G16" s="5">
        <f>('Prihodi - količinski'!H19+'Prihodi - količinski'!H48)*'Poslovni rashodi'!$J$16/1000</f>
        <v>2153.5360000000001</v>
      </c>
      <c r="H16" s="5">
        <f>('Prihodi - količinski'!I19+'Prihodi - količinski'!I48)*'Poslovni rashodi'!$J$16/1000</f>
        <v>2026.0239999999997</v>
      </c>
      <c r="I16" s="5">
        <f>('Prihodi - količinski'!J19+'Prihodi - količinski'!J48)*'Poslovni rashodi'!$J$16/1000</f>
        <v>1967.3279999999997</v>
      </c>
      <c r="J16" s="1">
        <v>40.479999999999997</v>
      </c>
    </row>
    <row r="17" spans="3:10" x14ac:dyDescent="0.25">
      <c r="C17" s="11" t="s">
        <v>36</v>
      </c>
      <c r="D17" s="5">
        <f>('Prihodi - količinski'!E49+'Prihodi - količinski'!E20)*'Poslovni rashodi'!$J$17/1000</f>
        <v>895.34080000000006</v>
      </c>
      <c r="E17" s="5">
        <f>('Prihodi - količinski'!F49+'Prihodi - količinski'!F20)*'Poslovni rashodi'!$J$17/1000</f>
        <v>1524.104</v>
      </c>
      <c r="F17" s="5">
        <f>('Prihodi - količinski'!G49+'Prihodi - količinski'!G20)*'Poslovni rashodi'!$J$17/1000</f>
        <v>2054.4472000000001</v>
      </c>
      <c r="G17" s="5">
        <f>('Prihodi - količinski'!H49+'Prihodi - količinski'!H20)*'Poslovni rashodi'!$J$17/1000</f>
        <v>2574.1048000000001</v>
      </c>
      <c r="H17" s="5">
        <f>('Prihodi - količinski'!I49+'Prihodi - količinski'!I20)*'Poslovni rashodi'!$J$17/1000</f>
        <v>3085.8888000000002</v>
      </c>
      <c r="I17" s="5">
        <f>('Prihodi - količinski'!J49+'Prihodi - količinski'!J20)*'Poslovni rashodi'!$J$17/1000</f>
        <v>3621.2936</v>
      </c>
      <c r="J17" s="1">
        <v>56.24</v>
      </c>
    </row>
    <row r="18" spans="3:10" x14ac:dyDescent="0.25">
      <c r="C18" s="11" t="s">
        <v>37</v>
      </c>
      <c r="D18" s="5">
        <f>('Prihodi - količinski'!E21+'Prihodi - količinski'!E50)*'Poslovni rashodi'!$J$18/1000</f>
        <v>805.68240000000003</v>
      </c>
      <c r="E18" s="5">
        <f>('Prihodi - količinski'!F21+'Prihodi - količinski'!F50)*'Poslovni rashodi'!$J$18/1000</f>
        <v>843.15599999999995</v>
      </c>
      <c r="F18" s="5">
        <f>('Prihodi - količinski'!G21+'Prihodi - količinski'!G50)*'Poslovni rashodi'!$J$18/1000</f>
        <v>883.16160000000002</v>
      </c>
      <c r="G18" s="5">
        <f>('Prihodi - količinski'!H21+'Prihodi - količinski'!H50)*'Poslovni rashodi'!$J$18/1000</f>
        <v>924.68640000000005</v>
      </c>
      <c r="H18" s="5">
        <f>('Prihodi - količinski'!I21+'Prihodi - količinski'!I50)*'Poslovni rashodi'!$J$18/1000</f>
        <v>969.75599999999997</v>
      </c>
      <c r="I18" s="5">
        <f>('Prihodi - količinski'!J21+'Prihodi - količinski'!J50)*'Poslovni rashodi'!$J$18/1000</f>
        <v>1015.8384</v>
      </c>
      <c r="J18" s="1">
        <v>50.64</v>
      </c>
    </row>
    <row r="19" spans="3:10" x14ac:dyDescent="0.25">
      <c r="C19" s="11" t="s">
        <v>38</v>
      </c>
      <c r="D19" s="5">
        <f>('Prihodi - količinski'!E51+'Prihodi - količinski'!E22)*'Poslovni rashodi'!$J$19/1000</f>
        <v>1269.5934</v>
      </c>
      <c r="E19" s="5">
        <f>('Prihodi - količinski'!F51+'Prihodi - količinski'!F22)*'Poslovni rashodi'!$J$19/1000</f>
        <v>1627.8368</v>
      </c>
      <c r="F19" s="5">
        <f>('Prihodi - količinski'!G51+'Prihodi - količinski'!G22)*'Poslovni rashodi'!$J$19/1000</f>
        <v>1741.8384000000001</v>
      </c>
      <c r="G19" s="5">
        <f>('Prihodi - količinski'!H51+'Prihodi - količinski'!H22)*'Poslovni rashodi'!$J$19/1000</f>
        <v>1855.84</v>
      </c>
      <c r="H19" s="5">
        <f>('Prihodi - količinski'!I51+'Prihodi - količinski'!I22)*'Poslovni rashodi'!$J$19/1000</f>
        <v>1970.5044</v>
      </c>
      <c r="I19" s="5">
        <f>('Prihodi - količinski'!J51+'Prihodi - količinski'!J22)*'Poslovni rashodi'!$J$19/1000</f>
        <v>2086.8258000000001</v>
      </c>
      <c r="J19" s="1">
        <v>33.14</v>
      </c>
    </row>
    <row r="20" spans="3:10" x14ac:dyDescent="0.25">
      <c r="C20" s="11" t="s">
        <v>39</v>
      </c>
      <c r="D20" s="5">
        <f>('Prihodi - količinski'!E25+'Prihodi - količinski'!E54)*'Poslovni rashodi'!$J$20/1000</f>
        <v>4599.5092000000004</v>
      </c>
      <c r="E20" s="5">
        <f>('Prihodi - količinski'!F25+'Prihodi - količinski'!F54)*'Poslovni rashodi'!$J$20/1000</f>
        <v>4736.1983500000006</v>
      </c>
      <c r="F20" s="5">
        <f>('Prihodi - količinski'!G25+'Prihodi - količinski'!G54)*'Poslovni rashodi'!$J$20/1000</f>
        <v>4876.8093985000014</v>
      </c>
      <c r="G20" s="5">
        <f>('Prihodi - količinski'!H25+'Prihodi - količinski'!H54)*'Poslovni rashodi'!$J$20/1000</f>
        <v>5021.4600024550009</v>
      </c>
      <c r="H20" s="5">
        <f>('Prihodi - količinski'!I25+'Prihodi - količinski'!I54)*'Poslovni rashodi'!$J$20/1000</f>
        <v>5170.5196485286506</v>
      </c>
      <c r="I20" s="5">
        <f>('Prihodi - količinski'!J25+'Prihodi - količinski'!J54)*'Poslovni rashodi'!$J$20/1000</f>
        <v>5323.8648589845106</v>
      </c>
      <c r="J20" s="1">
        <f>24.78+0.05</f>
        <v>24.830000000000002</v>
      </c>
    </row>
    <row r="21" spans="3:10" x14ac:dyDescent="0.25">
      <c r="C21" s="11" t="s">
        <v>40</v>
      </c>
      <c r="D21" s="5">
        <f>('Prihodi - količinski'!E26+'Prihodi - količinski'!E55)*'Poslovni rashodi'!$J$21/1000</f>
        <v>271.55799999999999</v>
      </c>
      <c r="E21" s="5">
        <f>('Prihodi - količinski'!F26+'Prihodi - količinski'!F55)*'Poslovni rashodi'!$J$21/1000</f>
        <v>281.15832499999999</v>
      </c>
      <c r="F21" s="5">
        <f>('Prihodi - količinski'!G26+'Prihodi - količinski'!G55)*'Poslovni rashodi'!$J$21/1000</f>
        <v>291.37569475000004</v>
      </c>
      <c r="G21" s="5">
        <f>('Prihodi - količinski'!H26+'Prihodi - količinski'!H55)*'Poslovni rashodi'!$J$21/1000</f>
        <v>301.79962559250004</v>
      </c>
      <c r="H21" s="5">
        <f>('Prihodi - količinski'!I26+'Prihodi - količinski'!I55)*'Poslovni rashodi'!$J$21/1000</f>
        <v>312.43631436027499</v>
      </c>
      <c r="I21" s="5">
        <f>('Prihodi - količinski'!J26+'Prihodi - količinski'!J55)*'Poslovni rashodi'!$J$21/1000</f>
        <v>323.29214379108322</v>
      </c>
      <c r="J21" s="1">
        <f>41.54+0.11</f>
        <v>41.65</v>
      </c>
    </row>
    <row r="22" spans="3:10" x14ac:dyDescent="0.25">
      <c r="C22" s="11" t="s">
        <v>41</v>
      </c>
      <c r="D22" s="5">
        <f>'Prihodi - količinski'!E28*'Poslovni rashodi'!$J$22/1000</f>
        <v>554.4</v>
      </c>
      <c r="E22" s="5">
        <f>'Prihodi - količinski'!F28*'Poslovni rashodi'!$J$22/1000</f>
        <v>831.6</v>
      </c>
      <c r="F22" s="5">
        <f>'Prihodi - količinski'!G28*'Poslovni rashodi'!$J$22/1000</f>
        <v>1108.8</v>
      </c>
      <c r="G22" s="5">
        <f>'Prihodi - količinski'!H28*'Poslovni rashodi'!$J$22/1000</f>
        <v>1663.2</v>
      </c>
      <c r="H22" s="5">
        <f>'Prihodi - količinski'!I28*'Poslovni rashodi'!$J$22/1000</f>
        <v>1940.4</v>
      </c>
      <c r="I22" s="5">
        <f>'Prihodi - količinski'!J28*'Poslovni rashodi'!$J$22/1000</f>
        <v>2217.6</v>
      </c>
      <c r="J22" s="1">
        <v>9.24</v>
      </c>
    </row>
    <row r="23" spans="3:10" ht="15" x14ac:dyDescent="0.3">
      <c r="C23" s="2" t="s">
        <v>85</v>
      </c>
      <c r="D23" s="3">
        <v>2336</v>
      </c>
      <c r="E23" s="3">
        <v>2189</v>
      </c>
      <c r="F23" s="3">
        <v>2210</v>
      </c>
      <c r="G23" s="3">
        <v>2232</v>
      </c>
      <c r="H23" s="3">
        <v>2254</v>
      </c>
      <c r="I23" s="3">
        <v>2276</v>
      </c>
    </row>
    <row r="24" spans="3:10" ht="15" x14ac:dyDescent="0.3">
      <c r="C24" s="2" t="s">
        <v>86</v>
      </c>
      <c r="D24" s="32">
        <v>6315</v>
      </c>
      <c r="E24" s="32">
        <v>6557</v>
      </c>
      <c r="F24" s="32">
        <v>6758</v>
      </c>
      <c r="G24" s="32">
        <v>6993</v>
      </c>
      <c r="H24" s="32">
        <v>7204</v>
      </c>
      <c r="I24" s="32">
        <v>7414</v>
      </c>
    </row>
    <row r="25" spans="3:10" ht="15" x14ac:dyDescent="0.3">
      <c r="C25" s="2" t="s">
        <v>87</v>
      </c>
      <c r="D25" s="5">
        <v>38297</v>
      </c>
      <c r="E25" s="5">
        <f>+D25*1.05</f>
        <v>40211.85</v>
      </c>
      <c r="F25" s="5">
        <f>+E25*1.05</f>
        <v>42222.442499999997</v>
      </c>
      <c r="G25" s="5">
        <f>+F25*1.05</f>
        <v>44333.564624999999</v>
      </c>
      <c r="H25" s="5">
        <f>+G25*1.05</f>
        <v>46550.242856249999</v>
      </c>
      <c r="I25" s="5">
        <f>+H25*1.05</f>
        <v>48877.754999062498</v>
      </c>
      <c r="J25" s="4">
        <v>0.05</v>
      </c>
    </row>
    <row r="26" spans="3:10" ht="15" x14ac:dyDescent="0.3">
      <c r="C26" s="2" t="s">
        <v>88</v>
      </c>
      <c r="D26" s="5">
        <f>+Amortizacija!C20</f>
        <v>5056.7749999999996</v>
      </c>
      <c r="E26" s="5">
        <f>+Amortizacija!D20</f>
        <v>5056.7749999999996</v>
      </c>
      <c r="F26" s="5">
        <f>+Amortizacija!E20</f>
        <v>5056.7749999999996</v>
      </c>
      <c r="G26" s="5">
        <f>+Amortizacija!F20</f>
        <v>5056.7749999999996</v>
      </c>
      <c r="H26" s="5">
        <f>+Amortizacija!G20</f>
        <v>5056.7749999999996</v>
      </c>
      <c r="I26" s="5">
        <f>+Amortizacija!H20</f>
        <v>5056.7749999999996</v>
      </c>
    </row>
    <row r="27" spans="3:10" ht="15" x14ac:dyDescent="0.3">
      <c r="C27" s="2" t="s">
        <v>89</v>
      </c>
      <c r="D27" s="3">
        <f t="shared" ref="D27:I27" si="3">SUM(D28:D29)</f>
        <v>17761</v>
      </c>
      <c r="E27" s="3">
        <f t="shared" si="3"/>
        <v>18188</v>
      </c>
      <c r="F27" s="3">
        <f t="shared" si="3"/>
        <v>18603</v>
      </c>
      <c r="G27" s="3">
        <f t="shared" si="3"/>
        <v>19028</v>
      </c>
      <c r="H27" s="3">
        <f t="shared" si="3"/>
        <v>19238</v>
      </c>
      <c r="I27" s="3">
        <f t="shared" si="3"/>
        <v>19659</v>
      </c>
    </row>
    <row r="28" spans="3:10" x14ac:dyDescent="0.25">
      <c r="C28" s="1" t="s">
        <v>90</v>
      </c>
      <c r="D28" s="5">
        <v>11607</v>
      </c>
      <c r="E28" s="5">
        <v>12010</v>
      </c>
      <c r="F28" s="5">
        <v>12398</v>
      </c>
      <c r="G28" s="5">
        <v>12794</v>
      </c>
      <c r="H28" s="5">
        <v>12977</v>
      </c>
      <c r="I28" s="5">
        <v>13369</v>
      </c>
    </row>
    <row r="29" spans="3:10" x14ac:dyDescent="0.25">
      <c r="C29" s="1" t="s">
        <v>91</v>
      </c>
      <c r="D29" s="5">
        <v>6154</v>
      </c>
      <c r="E29" s="5">
        <v>6178</v>
      </c>
      <c r="F29" s="5">
        <v>6205</v>
      </c>
      <c r="G29" s="5">
        <v>6234</v>
      </c>
      <c r="H29" s="5">
        <v>6261</v>
      </c>
      <c r="I29" s="5">
        <v>6290</v>
      </c>
    </row>
    <row r="30" spans="3:10" x14ac:dyDescent="0.25">
      <c r="C30" s="1" t="s">
        <v>273</v>
      </c>
      <c r="D30" s="5">
        <f t="shared" ref="D30:I30" si="4">+D5+D6+D25+D26+D27</f>
        <v>217430.09502000001</v>
      </c>
      <c r="E30" s="5">
        <f t="shared" si="4"/>
        <v>226353.42435899997</v>
      </c>
      <c r="F30" s="5">
        <f t="shared" si="4"/>
        <v>234449.21894152998</v>
      </c>
      <c r="G30" s="5">
        <f t="shared" si="4"/>
        <v>243045.66223726308</v>
      </c>
      <c r="H30" s="5">
        <f t="shared" si="4"/>
        <v>251489.42465855734</v>
      </c>
      <c r="I30" s="5">
        <f t="shared" si="4"/>
        <v>260294.74312813932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3:H24"/>
  <sheetViews>
    <sheetView workbookViewId="0">
      <selection activeCell="C3" sqref="C3:H3"/>
    </sheetView>
  </sheetViews>
  <sheetFormatPr defaultRowHeight="13.5" x14ac:dyDescent="0.25"/>
  <cols>
    <col min="1" max="1" width="9.140625" style="1"/>
    <col min="2" max="2" width="24.42578125" style="1" bestFit="1" customWidth="1"/>
    <col min="3" max="16384" width="9.140625" style="1"/>
  </cols>
  <sheetData>
    <row r="3" spans="2:8" ht="15" x14ac:dyDescent="0.3">
      <c r="C3" s="2">
        <v>2015</v>
      </c>
      <c r="D3" s="2">
        <v>2016</v>
      </c>
      <c r="E3" s="2">
        <v>2017</v>
      </c>
      <c r="F3" s="2">
        <v>2018</v>
      </c>
      <c r="G3" s="2">
        <v>2019</v>
      </c>
      <c r="H3" s="2">
        <v>2020</v>
      </c>
    </row>
    <row r="4" spans="2:8" ht="15" x14ac:dyDescent="0.3">
      <c r="B4" s="2" t="s">
        <v>136</v>
      </c>
    </row>
    <row r="6" spans="2:8" x14ac:dyDescent="0.25">
      <c r="B6" s="1" t="s">
        <v>142</v>
      </c>
      <c r="C6" s="5">
        <f>33782+1455</f>
        <v>35237</v>
      </c>
      <c r="D6" s="5">
        <f>+C10</f>
        <v>35237</v>
      </c>
      <c r="E6" s="5">
        <f>+D10</f>
        <v>35237</v>
      </c>
      <c r="F6" s="5">
        <f>+E10</f>
        <v>35237</v>
      </c>
      <c r="G6" s="5">
        <f>+F10</f>
        <v>35237</v>
      </c>
      <c r="H6" s="5">
        <f>+G10</f>
        <v>35237</v>
      </c>
    </row>
    <row r="7" spans="2:8" x14ac:dyDescent="0.25">
      <c r="B7" s="1" t="s">
        <v>137</v>
      </c>
      <c r="C7" s="5">
        <f t="shared" ref="C7:H7" si="0">+C6*0.025</f>
        <v>880.92500000000007</v>
      </c>
      <c r="D7" s="5">
        <f t="shared" si="0"/>
        <v>880.92500000000007</v>
      </c>
      <c r="E7" s="5">
        <f t="shared" si="0"/>
        <v>880.92500000000007</v>
      </c>
      <c r="F7" s="5">
        <f t="shared" si="0"/>
        <v>880.92500000000007</v>
      </c>
      <c r="G7" s="5">
        <f t="shared" si="0"/>
        <v>880.92500000000007</v>
      </c>
      <c r="H7" s="5">
        <f t="shared" si="0"/>
        <v>880.92500000000007</v>
      </c>
    </row>
    <row r="8" spans="2:8" x14ac:dyDescent="0.25">
      <c r="B8" s="1" t="s">
        <v>138</v>
      </c>
      <c r="C8" s="5">
        <f t="shared" ref="C8:H8" si="1">+C7</f>
        <v>880.92500000000007</v>
      </c>
      <c r="D8" s="5">
        <f t="shared" si="1"/>
        <v>880.92500000000007</v>
      </c>
      <c r="E8" s="5">
        <f t="shared" si="1"/>
        <v>880.92500000000007</v>
      </c>
      <c r="F8" s="5">
        <f t="shared" si="1"/>
        <v>880.92500000000007</v>
      </c>
      <c r="G8" s="5">
        <f t="shared" si="1"/>
        <v>880.92500000000007</v>
      </c>
      <c r="H8" s="5">
        <f t="shared" si="1"/>
        <v>880.92500000000007</v>
      </c>
    </row>
    <row r="9" spans="2:8" x14ac:dyDescent="0.25">
      <c r="B9" s="1" t="s">
        <v>139</v>
      </c>
      <c r="C9" s="5">
        <f>+C8</f>
        <v>880.92500000000007</v>
      </c>
      <c r="D9" s="5">
        <f>+C9+D8</f>
        <v>1761.8500000000001</v>
      </c>
      <c r="E9" s="5">
        <f>+D9+E8</f>
        <v>2642.7750000000001</v>
      </c>
      <c r="F9" s="5">
        <f>+E9+F8</f>
        <v>3523.7000000000003</v>
      </c>
      <c r="G9" s="5">
        <f>+F9+G8</f>
        <v>4404.625</v>
      </c>
      <c r="H9" s="5">
        <f>+G9+H8</f>
        <v>5285.55</v>
      </c>
    </row>
    <row r="10" spans="2:8" x14ac:dyDescent="0.25">
      <c r="B10" s="1" t="s">
        <v>140</v>
      </c>
      <c r="C10" s="5">
        <f t="shared" ref="C10:H10" si="2">+C6-C7+C8</f>
        <v>35237</v>
      </c>
      <c r="D10" s="5">
        <f t="shared" si="2"/>
        <v>35237</v>
      </c>
      <c r="E10" s="5">
        <f t="shared" si="2"/>
        <v>35237</v>
      </c>
      <c r="F10" s="5">
        <f t="shared" si="2"/>
        <v>35237</v>
      </c>
      <c r="G10" s="5">
        <f t="shared" si="2"/>
        <v>35237</v>
      </c>
      <c r="H10" s="5">
        <f t="shared" si="2"/>
        <v>35237</v>
      </c>
    </row>
    <row r="12" spans="2:8" ht="15" x14ac:dyDescent="0.3">
      <c r="B12" s="2" t="s">
        <v>141</v>
      </c>
    </row>
    <row r="13" spans="2:8" ht="15" x14ac:dyDescent="0.3">
      <c r="B13" s="2"/>
    </row>
    <row r="14" spans="2:8" x14ac:dyDescent="0.25">
      <c r="B14" s="1" t="s">
        <v>142</v>
      </c>
      <c r="C14" s="5">
        <v>27839</v>
      </c>
      <c r="D14" s="5">
        <v>27839</v>
      </c>
      <c r="E14" s="5">
        <v>27839</v>
      </c>
      <c r="F14" s="5">
        <v>27839</v>
      </c>
      <c r="G14" s="5">
        <v>27839</v>
      </c>
      <c r="H14" s="5">
        <v>27839</v>
      </c>
    </row>
    <row r="15" spans="2:8" x14ac:dyDescent="0.25">
      <c r="B15" s="1" t="s">
        <v>137</v>
      </c>
      <c r="C15" s="5">
        <f t="shared" ref="C15:H15" si="3">+C14*0.15</f>
        <v>4175.8499999999995</v>
      </c>
      <c r="D15" s="5">
        <f t="shared" si="3"/>
        <v>4175.8499999999995</v>
      </c>
      <c r="E15" s="5">
        <f t="shared" si="3"/>
        <v>4175.8499999999995</v>
      </c>
      <c r="F15" s="5">
        <f t="shared" si="3"/>
        <v>4175.8499999999995</v>
      </c>
      <c r="G15" s="5">
        <f t="shared" si="3"/>
        <v>4175.8499999999995</v>
      </c>
      <c r="H15" s="5">
        <f t="shared" si="3"/>
        <v>4175.8499999999995</v>
      </c>
    </row>
    <row r="16" spans="2:8" x14ac:dyDescent="0.25">
      <c r="B16" s="1" t="s">
        <v>138</v>
      </c>
      <c r="C16" s="5">
        <f t="shared" ref="C16:H16" si="4">+C15</f>
        <v>4175.8499999999995</v>
      </c>
      <c r="D16" s="5">
        <f t="shared" si="4"/>
        <v>4175.8499999999995</v>
      </c>
      <c r="E16" s="5">
        <f t="shared" si="4"/>
        <v>4175.8499999999995</v>
      </c>
      <c r="F16" s="5">
        <f t="shared" si="4"/>
        <v>4175.8499999999995</v>
      </c>
      <c r="G16" s="5">
        <f t="shared" si="4"/>
        <v>4175.8499999999995</v>
      </c>
      <c r="H16" s="5">
        <f t="shared" si="4"/>
        <v>4175.8499999999995</v>
      </c>
    </row>
    <row r="17" spans="2:8" x14ac:dyDescent="0.25">
      <c r="B17" s="1" t="s">
        <v>139</v>
      </c>
      <c r="C17" s="5">
        <f>+C16</f>
        <v>4175.8499999999995</v>
      </c>
      <c r="D17" s="5">
        <f>+C17+D16</f>
        <v>8351.6999999999989</v>
      </c>
      <c r="E17" s="5">
        <f>+D17+E16</f>
        <v>12527.55</v>
      </c>
      <c r="F17" s="5">
        <f>+E17+F16</f>
        <v>16703.399999999998</v>
      </c>
      <c r="G17" s="5">
        <f>+F17+G16</f>
        <v>20879.249999999996</v>
      </c>
      <c r="H17" s="5">
        <f>+G17+H16</f>
        <v>25055.099999999995</v>
      </c>
    </row>
    <row r="18" spans="2:8" x14ac:dyDescent="0.25">
      <c r="B18" s="1" t="s">
        <v>140</v>
      </c>
      <c r="C18" s="5">
        <f t="shared" ref="C18:H18" si="5">+C14-C15+C16</f>
        <v>27839</v>
      </c>
      <c r="D18" s="5">
        <f t="shared" si="5"/>
        <v>27839</v>
      </c>
      <c r="E18" s="5">
        <f t="shared" si="5"/>
        <v>27839</v>
      </c>
      <c r="F18" s="5">
        <f t="shared" si="5"/>
        <v>27839</v>
      </c>
      <c r="G18" s="5">
        <f t="shared" si="5"/>
        <v>27839</v>
      </c>
      <c r="H18" s="5">
        <f t="shared" si="5"/>
        <v>27839</v>
      </c>
    </row>
    <row r="20" spans="2:8" ht="15.75" thickBot="1" x14ac:dyDescent="0.35">
      <c r="B20" s="23" t="s">
        <v>143</v>
      </c>
      <c r="C20" s="24">
        <f t="shared" ref="C20:H20" si="6">+C7+C15</f>
        <v>5056.7749999999996</v>
      </c>
      <c r="D20" s="24">
        <f t="shared" si="6"/>
        <v>5056.7749999999996</v>
      </c>
      <c r="E20" s="24">
        <f t="shared" si="6"/>
        <v>5056.7749999999996</v>
      </c>
      <c r="F20" s="24">
        <f t="shared" si="6"/>
        <v>5056.7749999999996</v>
      </c>
      <c r="G20" s="24">
        <f t="shared" si="6"/>
        <v>5056.7749999999996</v>
      </c>
      <c r="H20" s="24">
        <f t="shared" si="6"/>
        <v>5056.7749999999996</v>
      </c>
    </row>
    <row r="21" spans="2:8" ht="14.25" thickTop="1" x14ac:dyDescent="0.25"/>
    <row r="23" spans="2:8" ht="14.25" thickBot="1" x14ac:dyDescent="0.3">
      <c r="B23" s="33" t="s">
        <v>170</v>
      </c>
      <c r="C23" s="34">
        <f t="shared" ref="C23:H23" si="7">C10+C14</f>
        <v>63076</v>
      </c>
      <c r="D23" s="34">
        <f t="shared" si="7"/>
        <v>63076</v>
      </c>
      <c r="E23" s="34">
        <f t="shared" si="7"/>
        <v>63076</v>
      </c>
      <c r="F23" s="34">
        <f t="shared" si="7"/>
        <v>63076</v>
      </c>
      <c r="G23" s="34">
        <f t="shared" si="7"/>
        <v>63076</v>
      </c>
      <c r="H23" s="34">
        <f t="shared" si="7"/>
        <v>63076</v>
      </c>
    </row>
    <row r="24" spans="2:8" ht="14.25" thickTop="1" x14ac:dyDescent="0.25"/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1:I80"/>
  <sheetViews>
    <sheetView workbookViewId="0">
      <selection activeCell="L9" sqref="L9"/>
    </sheetView>
  </sheetViews>
  <sheetFormatPr defaultRowHeight="13.5" x14ac:dyDescent="0.25"/>
  <cols>
    <col min="1" max="1" width="9.140625" style="1"/>
    <col min="2" max="2" width="3" style="1" bestFit="1" customWidth="1"/>
    <col min="3" max="3" width="10.7109375" style="1" bestFit="1" customWidth="1"/>
    <col min="4" max="4" width="20.85546875" style="1" bestFit="1" customWidth="1"/>
    <col min="5" max="6" width="12" style="1" bestFit="1" customWidth="1"/>
    <col min="7" max="7" width="8" style="1" bestFit="1" customWidth="1"/>
    <col min="8" max="8" width="12.140625" style="1" bestFit="1" customWidth="1"/>
    <col min="9" max="10" width="9.140625" style="1"/>
    <col min="11" max="11" width="10" style="1" bestFit="1" customWidth="1"/>
    <col min="12" max="16384" width="9.140625" style="1"/>
  </cols>
  <sheetData>
    <row r="1" spans="2:8" x14ac:dyDescent="0.25">
      <c r="B1" s="73" t="s">
        <v>237</v>
      </c>
      <c r="C1" s="73"/>
      <c r="D1" s="73"/>
      <c r="E1" s="73"/>
      <c r="F1" s="73"/>
      <c r="G1" s="73"/>
      <c r="H1" s="73"/>
    </row>
    <row r="3" spans="2:8" x14ac:dyDescent="0.25">
      <c r="B3" s="47"/>
      <c r="C3" s="48"/>
      <c r="D3" s="48">
        <v>9.11188E-2</v>
      </c>
      <c r="E3" s="48"/>
      <c r="F3" s="48"/>
      <c r="G3" s="48"/>
      <c r="H3" s="49" t="s">
        <v>171</v>
      </c>
    </row>
    <row r="4" spans="2:8" x14ac:dyDescent="0.25">
      <c r="B4" s="50"/>
      <c r="C4" s="51" t="s">
        <v>172</v>
      </c>
      <c r="D4" s="51" t="s">
        <v>173</v>
      </c>
      <c r="E4" s="51" t="s">
        <v>174</v>
      </c>
      <c r="F4" s="51" t="s">
        <v>175</v>
      </c>
      <c r="G4" s="51" t="s">
        <v>176</v>
      </c>
      <c r="H4" s="52" t="s">
        <v>177</v>
      </c>
    </row>
    <row r="5" spans="2:8" x14ac:dyDescent="0.25">
      <c r="B5" s="47">
        <v>1</v>
      </c>
      <c r="C5" s="48" t="s">
        <v>178</v>
      </c>
      <c r="D5" s="53">
        <v>152000</v>
      </c>
      <c r="E5" s="53"/>
      <c r="F5" s="53">
        <v>3463</v>
      </c>
      <c r="G5" s="53"/>
      <c r="H5" s="54">
        <v>152000</v>
      </c>
    </row>
    <row r="6" spans="2:8" x14ac:dyDescent="0.25">
      <c r="B6" s="50">
        <v>2</v>
      </c>
      <c r="C6" s="51" t="s">
        <v>179</v>
      </c>
      <c r="D6" s="30">
        <v>152000</v>
      </c>
      <c r="E6" s="30"/>
      <c r="F6" s="30">
        <v>3463</v>
      </c>
      <c r="G6" s="30"/>
      <c r="H6" s="55">
        <v>152000</v>
      </c>
    </row>
    <row r="7" spans="2:8" x14ac:dyDescent="0.25">
      <c r="B7" s="56">
        <v>3</v>
      </c>
      <c r="C7" s="57" t="s">
        <v>180</v>
      </c>
      <c r="D7" s="27">
        <v>152000</v>
      </c>
      <c r="E7" s="27"/>
      <c r="F7" s="27">
        <v>3463</v>
      </c>
      <c r="G7" s="27"/>
      <c r="H7" s="58">
        <v>152000</v>
      </c>
    </row>
    <row r="8" spans="2:8" x14ac:dyDescent="0.25">
      <c r="B8" s="56">
        <v>4</v>
      </c>
      <c r="C8" s="57" t="s">
        <v>181</v>
      </c>
      <c r="D8" s="27">
        <v>152000</v>
      </c>
      <c r="E8" s="27"/>
      <c r="F8" s="27">
        <v>3463</v>
      </c>
      <c r="G8" s="27"/>
      <c r="H8" s="58">
        <v>152000</v>
      </c>
    </row>
    <row r="9" spans="2:8" x14ac:dyDescent="0.25">
      <c r="B9" s="56">
        <v>5</v>
      </c>
      <c r="C9" s="57" t="s">
        <v>182</v>
      </c>
      <c r="D9" s="27">
        <v>152000</v>
      </c>
      <c r="E9" s="27">
        <v>7979.8855999999996</v>
      </c>
      <c r="F9" s="27">
        <v>3462.5144</v>
      </c>
      <c r="G9" s="27">
        <v>11442.4</v>
      </c>
      <c r="H9" s="58">
        <v>144020.11439999999</v>
      </c>
    </row>
    <row r="10" spans="2:8" x14ac:dyDescent="0.25">
      <c r="B10" s="50">
        <v>6</v>
      </c>
      <c r="C10" s="51" t="s">
        <v>183</v>
      </c>
      <c r="D10" s="30">
        <v>144020.11439999999</v>
      </c>
      <c r="E10" s="30">
        <v>8161.6650000023201</v>
      </c>
      <c r="F10" s="30">
        <v>3280.73499999768</v>
      </c>
      <c r="G10" s="30">
        <v>11442.4</v>
      </c>
      <c r="H10" s="55">
        <v>135858.44939999768</v>
      </c>
    </row>
    <row r="11" spans="2:8" x14ac:dyDescent="0.25">
      <c r="B11" s="47">
        <v>7</v>
      </c>
      <c r="C11" s="48" t="s">
        <v>184</v>
      </c>
      <c r="D11" s="53">
        <v>135858.44939999768</v>
      </c>
      <c r="E11" s="53">
        <v>8347.585280202873</v>
      </c>
      <c r="F11" s="53">
        <v>3094.8147197971271</v>
      </c>
      <c r="G11" s="53">
        <v>11442.4</v>
      </c>
      <c r="H11" s="54">
        <v>127510.86411979482</v>
      </c>
    </row>
    <row r="12" spans="2:8" x14ac:dyDescent="0.25">
      <c r="B12" s="56">
        <v>8</v>
      </c>
      <c r="C12" s="57" t="s">
        <v>185</v>
      </c>
      <c r="D12" s="27">
        <v>127510.86411979482</v>
      </c>
      <c r="E12" s="27">
        <v>8537.7407686103106</v>
      </c>
      <c r="F12" s="27">
        <v>2904.6592313896899</v>
      </c>
      <c r="G12" s="27">
        <v>11442.4</v>
      </c>
      <c r="H12" s="58">
        <v>118973.12335118451</v>
      </c>
    </row>
    <row r="13" spans="2:8" x14ac:dyDescent="0.25">
      <c r="B13" s="56">
        <v>9</v>
      </c>
      <c r="C13" s="57" t="s">
        <v>186</v>
      </c>
      <c r="D13" s="27">
        <v>118973.12335118451</v>
      </c>
      <c r="E13" s="27">
        <v>8732.2279419970218</v>
      </c>
      <c r="F13" s="27">
        <v>2710.1720580029778</v>
      </c>
      <c r="G13" s="27">
        <v>11442.4</v>
      </c>
      <c r="H13" s="58">
        <v>110240.89540918748</v>
      </c>
    </row>
    <row r="14" spans="2:8" x14ac:dyDescent="0.25">
      <c r="B14" s="50">
        <v>10</v>
      </c>
      <c r="C14" s="51" t="s">
        <v>187</v>
      </c>
      <c r="D14" s="30">
        <v>110240.89540918748</v>
      </c>
      <c r="E14" s="30">
        <v>8931.1454748473316</v>
      </c>
      <c r="F14" s="30">
        <v>2511.2545251526681</v>
      </c>
      <c r="G14" s="30">
        <v>11442.4</v>
      </c>
      <c r="H14" s="55">
        <v>101309.74993434014</v>
      </c>
    </row>
    <row r="15" spans="2:8" x14ac:dyDescent="0.25">
      <c r="B15" s="56">
        <v>11</v>
      </c>
      <c r="C15" s="57" t="s">
        <v>188</v>
      </c>
      <c r="D15" s="27">
        <v>101309.74993434014</v>
      </c>
      <c r="E15" s="27">
        <v>9134.594289420711</v>
      </c>
      <c r="F15" s="27">
        <v>2307.8057105792882</v>
      </c>
      <c r="G15" s="27">
        <v>11442.4</v>
      </c>
      <c r="H15" s="58">
        <v>92175.155644919432</v>
      </c>
    </row>
    <row r="16" spans="2:8" x14ac:dyDescent="0.25">
      <c r="B16" s="56">
        <v>12</v>
      </c>
      <c r="C16" s="57" t="s">
        <v>189</v>
      </c>
      <c r="D16" s="27">
        <v>92175.155644919432</v>
      </c>
      <c r="E16" s="27">
        <v>9342.6776069554289</v>
      </c>
      <c r="F16" s="27">
        <v>2099.7223930445712</v>
      </c>
      <c r="G16" s="27">
        <v>11442.4</v>
      </c>
      <c r="H16" s="58">
        <v>82832.478037964</v>
      </c>
    </row>
    <row r="17" spans="2:9" x14ac:dyDescent="0.25">
      <c r="B17" s="56">
        <v>13</v>
      </c>
      <c r="C17" s="57" t="s">
        <v>190</v>
      </c>
      <c r="D17" s="27">
        <v>82832.478037964</v>
      </c>
      <c r="E17" s="27">
        <v>9555.5010000385919</v>
      </c>
      <c r="F17" s="27">
        <v>1886.8989999614084</v>
      </c>
      <c r="G17" s="27">
        <v>11442.4</v>
      </c>
      <c r="H17" s="58">
        <v>73276.977037925404</v>
      </c>
      <c r="I17" s="5"/>
    </row>
    <row r="18" spans="2:9" x14ac:dyDescent="0.25">
      <c r="B18" s="50">
        <v>14</v>
      </c>
      <c r="C18" s="51" t="s">
        <v>191</v>
      </c>
      <c r="D18" s="30">
        <v>73276.977037925404</v>
      </c>
      <c r="E18" s="30">
        <v>9773.1724461691701</v>
      </c>
      <c r="F18" s="30">
        <v>1669.2275538308293</v>
      </c>
      <c r="G18" s="30">
        <v>11442.4</v>
      </c>
      <c r="H18" s="55">
        <v>63503.804591756234</v>
      </c>
      <c r="I18" s="5">
        <f>SUM(F15:F18)</f>
        <v>7963.6546574160975</v>
      </c>
    </row>
    <row r="19" spans="2:9" x14ac:dyDescent="0.25">
      <c r="B19" s="56">
        <v>15</v>
      </c>
      <c r="C19" s="57" t="s">
        <v>192</v>
      </c>
      <c r="D19" s="27">
        <v>63503.804591756234</v>
      </c>
      <c r="E19" s="27">
        <v>9995.8023825411692</v>
      </c>
      <c r="F19" s="27">
        <v>1446.5976174588295</v>
      </c>
      <c r="G19" s="27">
        <v>11442.4</v>
      </c>
      <c r="H19" s="58">
        <v>53508.002209215061</v>
      </c>
    </row>
    <row r="20" spans="2:9" x14ac:dyDescent="0.25">
      <c r="B20" s="56">
        <v>16</v>
      </c>
      <c r="C20" s="57" t="s">
        <v>193</v>
      </c>
      <c r="D20" s="27">
        <v>53508.002209215061</v>
      </c>
      <c r="E20" s="27">
        <v>10223.503762074743</v>
      </c>
      <c r="F20" s="27">
        <v>1218.8962379252564</v>
      </c>
      <c r="G20" s="27">
        <v>11442.4</v>
      </c>
      <c r="H20" s="58">
        <v>43284.498447140315</v>
      </c>
    </row>
    <row r="21" spans="2:9" x14ac:dyDescent="0.25">
      <c r="B21" s="56">
        <v>17</v>
      </c>
      <c r="C21" s="57" t="s">
        <v>194</v>
      </c>
      <c r="D21" s="27">
        <v>43284.498447140315</v>
      </c>
      <c r="E21" s="27">
        <v>10456.392110723678</v>
      </c>
      <c r="F21" s="27">
        <v>986.0078892763222</v>
      </c>
      <c r="G21" s="27">
        <v>11442.4</v>
      </c>
      <c r="H21" s="58">
        <v>32828.106336416633</v>
      </c>
    </row>
    <row r="22" spans="2:9" x14ac:dyDescent="0.25">
      <c r="B22" s="50">
        <v>18</v>
      </c>
      <c r="C22" s="51" t="s">
        <v>195</v>
      </c>
      <c r="D22" s="30">
        <v>32828.106336416633</v>
      </c>
      <c r="E22" s="30">
        <v>10694.585586088329</v>
      </c>
      <c r="F22" s="30">
        <v>747.81441391166993</v>
      </c>
      <c r="G22" s="30">
        <v>11442.4</v>
      </c>
      <c r="H22" s="55">
        <v>22133.520750328302</v>
      </c>
      <c r="I22" s="5">
        <f>SUM(F19:F22)</f>
        <v>4399.3161585720782</v>
      </c>
    </row>
    <row r="23" spans="2:9" x14ac:dyDescent="0.25">
      <c r="B23" s="56">
        <v>19</v>
      </c>
      <c r="C23" s="57" t="s">
        <v>196</v>
      </c>
      <c r="D23" s="27">
        <v>22133.520750328302</v>
      </c>
      <c r="E23" s="27">
        <v>10938.205037363747</v>
      </c>
      <c r="F23" s="27">
        <v>504.19496263625359</v>
      </c>
      <c r="G23" s="27">
        <v>11442.4</v>
      </c>
      <c r="H23" s="58">
        <v>11195.315712964555</v>
      </c>
    </row>
    <row r="24" spans="2:9" x14ac:dyDescent="0.25">
      <c r="B24" s="50">
        <v>20</v>
      </c>
      <c r="C24" s="51" t="s">
        <v>197</v>
      </c>
      <c r="D24" s="30">
        <v>11195.315712964555</v>
      </c>
      <c r="E24" s="30">
        <v>11195.374066653381</v>
      </c>
      <c r="F24" s="30">
        <v>255.02593334661867</v>
      </c>
      <c r="G24" s="30">
        <v>11450.4</v>
      </c>
      <c r="H24" s="55">
        <v>-5.8353688826173311E-2</v>
      </c>
      <c r="I24" s="5">
        <f>SUM(F23:F24)</f>
        <v>759.22089598287221</v>
      </c>
    </row>
    <row r="27" spans="2:9" x14ac:dyDescent="0.25">
      <c r="B27" s="73" t="s">
        <v>236</v>
      </c>
      <c r="C27" s="73"/>
      <c r="D27" s="73"/>
      <c r="E27" s="73"/>
      <c r="F27" s="73"/>
      <c r="G27" s="73"/>
      <c r="H27" s="73"/>
    </row>
    <row r="29" spans="2:9" x14ac:dyDescent="0.25">
      <c r="B29" s="47"/>
      <c r="C29" s="48">
        <v>0.03</v>
      </c>
      <c r="D29" s="48"/>
      <c r="E29" s="48"/>
      <c r="F29" s="48"/>
      <c r="G29" s="48"/>
      <c r="H29" s="49" t="s">
        <v>199</v>
      </c>
    </row>
    <row r="30" spans="2:9" x14ac:dyDescent="0.25">
      <c r="B30" s="50" t="s">
        <v>234</v>
      </c>
      <c r="C30" s="51" t="s">
        <v>172</v>
      </c>
      <c r="D30" s="51" t="s">
        <v>173</v>
      </c>
      <c r="E30" s="51" t="s">
        <v>174</v>
      </c>
      <c r="F30" s="51" t="s">
        <v>175</v>
      </c>
      <c r="G30" s="51" t="s">
        <v>176</v>
      </c>
      <c r="H30" s="52" t="s">
        <v>177</v>
      </c>
    </row>
    <row r="31" spans="2:9" x14ac:dyDescent="0.25">
      <c r="B31" s="47">
        <v>1</v>
      </c>
      <c r="C31" s="48" t="s">
        <v>200</v>
      </c>
      <c r="D31" s="53">
        <v>15000000</v>
      </c>
      <c r="E31" s="53"/>
      <c r="F31" s="53">
        <v>112500</v>
      </c>
      <c r="G31" s="53"/>
      <c r="H31" s="54">
        <v>15000000</v>
      </c>
    </row>
    <row r="32" spans="2:9" x14ac:dyDescent="0.25">
      <c r="B32" s="56">
        <v>2</v>
      </c>
      <c r="C32" s="57" t="s">
        <v>201</v>
      </c>
      <c r="D32" s="27">
        <v>15000000</v>
      </c>
      <c r="E32" s="27"/>
      <c r="F32" s="27">
        <v>112500</v>
      </c>
      <c r="G32" s="27"/>
      <c r="H32" s="58">
        <v>15000000</v>
      </c>
    </row>
    <row r="33" spans="2:9" x14ac:dyDescent="0.25">
      <c r="B33" s="56">
        <v>3</v>
      </c>
      <c r="C33" s="57" t="s">
        <v>202</v>
      </c>
      <c r="D33" s="27">
        <v>15000000</v>
      </c>
      <c r="E33" s="27"/>
      <c r="F33" s="27">
        <v>112500</v>
      </c>
      <c r="G33" s="27"/>
      <c r="H33" s="58">
        <v>15000000</v>
      </c>
    </row>
    <row r="34" spans="2:9" x14ac:dyDescent="0.25">
      <c r="B34" s="50">
        <v>4</v>
      </c>
      <c r="C34" s="51" t="s">
        <v>70</v>
      </c>
      <c r="D34" s="30">
        <v>15000000</v>
      </c>
      <c r="E34" s="30">
        <v>697959.48</v>
      </c>
      <c r="F34" s="30">
        <v>112500</v>
      </c>
      <c r="G34" s="30">
        <v>810459.48</v>
      </c>
      <c r="H34" s="55">
        <v>14302040.52</v>
      </c>
      <c r="I34" s="5">
        <f>SUM(F31:F34)</f>
        <v>450000</v>
      </c>
    </row>
    <row r="35" spans="2:9" x14ac:dyDescent="0.25">
      <c r="B35" s="56">
        <v>5</v>
      </c>
      <c r="C35" s="57" t="s">
        <v>203</v>
      </c>
      <c r="D35" s="27">
        <v>14302040.52</v>
      </c>
      <c r="E35" s="27">
        <v>703194.17610000004</v>
      </c>
      <c r="F35" s="27">
        <v>107265.3039</v>
      </c>
      <c r="G35" s="27">
        <v>810459.48</v>
      </c>
      <c r="H35" s="58">
        <v>13598846.343899999</v>
      </c>
    </row>
    <row r="36" spans="2:9" x14ac:dyDescent="0.25">
      <c r="B36" s="56">
        <v>6</v>
      </c>
      <c r="C36" s="57" t="s">
        <v>204</v>
      </c>
      <c r="D36" s="27">
        <v>13598846.343899999</v>
      </c>
      <c r="E36" s="27">
        <v>708468.13242074999</v>
      </c>
      <c r="F36" s="27">
        <v>101991.34757924998</v>
      </c>
      <c r="G36" s="27">
        <v>810459.48</v>
      </c>
      <c r="H36" s="58">
        <v>12890378.211479248</v>
      </c>
    </row>
    <row r="37" spans="2:9" x14ac:dyDescent="0.25">
      <c r="B37" s="56">
        <v>7</v>
      </c>
      <c r="C37" s="57" t="s">
        <v>205</v>
      </c>
      <c r="D37" s="27">
        <v>12890378.211479248</v>
      </c>
      <c r="E37" s="27">
        <v>713781.64341390564</v>
      </c>
      <c r="F37" s="27">
        <v>96677.83658609436</v>
      </c>
      <c r="G37" s="27">
        <v>810459.48</v>
      </c>
      <c r="H37" s="58">
        <v>12176596.568065343</v>
      </c>
    </row>
    <row r="38" spans="2:9" x14ac:dyDescent="0.25">
      <c r="B38" s="50">
        <v>8</v>
      </c>
      <c r="C38" s="51" t="s">
        <v>206</v>
      </c>
      <c r="D38" s="30">
        <v>12176596.568065343</v>
      </c>
      <c r="E38" s="30">
        <v>719135.00573950994</v>
      </c>
      <c r="F38" s="30">
        <v>91324.474260490068</v>
      </c>
      <c r="G38" s="30">
        <v>810459.48</v>
      </c>
      <c r="H38" s="55">
        <v>11457461.562325833</v>
      </c>
      <c r="I38" s="5">
        <f>SUM(F35:F38)</f>
        <v>397258.96232583444</v>
      </c>
    </row>
    <row r="39" spans="2:9" x14ac:dyDescent="0.25">
      <c r="B39" s="56">
        <v>9</v>
      </c>
      <c r="C39" s="57" t="s">
        <v>207</v>
      </c>
      <c r="D39" s="27">
        <v>11457461.562325833</v>
      </c>
      <c r="E39" s="27">
        <v>724528.51828255621</v>
      </c>
      <c r="F39" s="27">
        <v>85930.961717443744</v>
      </c>
      <c r="G39" s="27">
        <v>810459.48</v>
      </c>
      <c r="H39" s="58">
        <v>10732933.044043276</v>
      </c>
    </row>
    <row r="40" spans="2:9" x14ac:dyDescent="0.25">
      <c r="B40" s="56">
        <v>10</v>
      </c>
      <c r="C40" s="57" t="s">
        <v>208</v>
      </c>
      <c r="D40" s="27">
        <v>10732933.044043276</v>
      </c>
      <c r="E40" s="27">
        <v>729962.48216967541</v>
      </c>
      <c r="F40" s="27">
        <v>80496.997830324573</v>
      </c>
      <c r="G40" s="27">
        <v>810459.48</v>
      </c>
      <c r="H40" s="58">
        <v>10002970.561873602</v>
      </c>
    </row>
    <row r="41" spans="2:9" x14ac:dyDescent="0.25">
      <c r="B41" s="56">
        <v>11</v>
      </c>
      <c r="C41" s="57" t="s">
        <v>209</v>
      </c>
      <c r="D41" s="27">
        <v>10002970.561873602</v>
      </c>
      <c r="E41" s="27">
        <v>735437.20078594796</v>
      </c>
      <c r="F41" s="27">
        <v>75022.279214052003</v>
      </c>
      <c r="G41" s="27">
        <v>810459.48</v>
      </c>
      <c r="H41" s="58">
        <v>9267533.3610876538</v>
      </c>
    </row>
    <row r="42" spans="2:9" x14ac:dyDescent="0.25">
      <c r="B42" s="50">
        <v>12</v>
      </c>
      <c r="C42" s="51" t="s">
        <v>210</v>
      </c>
      <c r="D42" s="30">
        <v>9267533.3610876538</v>
      </c>
      <c r="E42" s="30">
        <v>740952.97979184263</v>
      </c>
      <c r="F42" s="30">
        <v>69506.500208157406</v>
      </c>
      <c r="G42" s="30">
        <v>810459.48</v>
      </c>
      <c r="H42" s="55">
        <v>8526580.3812958114</v>
      </c>
      <c r="I42" s="5">
        <f>SUM(F39:F42)</f>
        <v>310956.73896997771</v>
      </c>
    </row>
    <row r="43" spans="2:9" x14ac:dyDescent="0.25">
      <c r="B43" s="56">
        <v>13</v>
      </c>
      <c r="C43" s="57" t="s">
        <v>211</v>
      </c>
      <c r="D43" s="27">
        <v>8526580.3812958114</v>
      </c>
      <c r="E43" s="27">
        <v>746510.12714028137</v>
      </c>
      <c r="F43" s="27">
        <v>63949.35285971858</v>
      </c>
      <c r="G43" s="27">
        <v>810459.48</v>
      </c>
      <c r="H43" s="58">
        <v>7780070.2541555297</v>
      </c>
    </row>
    <row r="44" spans="2:9" x14ac:dyDescent="0.25">
      <c r="B44" s="56">
        <v>14</v>
      </c>
      <c r="C44" s="57" t="s">
        <v>212</v>
      </c>
      <c r="D44" s="27">
        <v>7780070.2541555297</v>
      </c>
      <c r="E44" s="27">
        <v>752108.95309383352</v>
      </c>
      <c r="F44" s="27">
        <v>58350.526906166473</v>
      </c>
      <c r="G44" s="27">
        <v>810459.48</v>
      </c>
      <c r="H44" s="58">
        <v>7027961.3010616964</v>
      </c>
    </row>
    <row r="45" spans="2:9" x14ac:dyDescent="0.25">
      <c r="B45" s="56">
        <v>15</v>
      </c>
      <c r="C45" s="57" t="s">
        <v>213</v>
      </c>
      <c r="D45" s="27">
        <v>7027961.3010616964</v>
      </c>
      <c r="E45" s="27">
        <v>757749.77024203725</v>
      </c>
      <c r="F45" s="27">
        <v>52709.709757962723</v>
      </c>
      <c r="G45" s="27">
        <v>810459.48</v>
      </c>
      <c r="H45" s="58">
        <v>6270211.5308196591</v>
      </c>
    </row>
    <row r="46" spans="2:9" ht="14.25" customHeight="1" x14ac:dyDescent="0.25">
      <c r="B46" s="50">
        <v>16</v>
      </c>
      <c r="C46" s="51" t="s">
        <v>214</v>
      </c>
      <c r="D46" s="30">
        <v>6270211.5308196591</v>
      </c>
      <c r="E46" s="30">
        <v>763432.89351885254</v>
      </c>
      <c r="F46" s="30">
        <v>47026.586481147438</v>
      </c>
      <c r="G46" s="30">
        <v>810459.48</v>
      </c>
      <c r="H46" s="55">
        <v>5506778.6373008061</v>
      </c>
      <c r="I46" s="5">
        <f>SUM(F43:F46)</f>
        <v>222036.17600499521</v>
      </c>
    </row>
    <row r="47" spans="2:9" x14ac:dyDescent="0.25">
      <c r="B47" s="56">
        <v>17</v>
      </c>
      <c r="C47" s="57" t="s">
        <v>215</v>
      </c>
      <c r="D47" s="27">
        <v>5506778.6373008061</v>
      </c>
      <c r="E47" s="27">
        <v>769158.64022024395</v>
      </c>
      <c r="F47" s="27">
        <v>41300.839779756046</v>
      </c>
      <c r="G47" s="27">
        <v>810459.48</v>
      </c>
      <c r="H47" s="58">
        <v>4737619.9970805626</v>
      </c>
    </row>
    <row r="48" spans="2:9" x14ac:dyDescent="0.25">
      <c r="B48" s="56">
        <v>18</v>
      </c>
      <c r="C48" s="57" t="s">
        <v>216</v>
      </c>
      <c r="D48" s="27">
        <v>4737619.9970805626</v>
      </c>
      <c r="E48" s="27">
        <v>774927.33002189582</v>
      </c>
      <c r="F48" s="27">
        <v>35532.149978104215</v>
      </c>
      <c r="G48" s="27">
        <v>810459.48</v>
      </c>
      <c r="H48" s="58">
        <v>3962692.6670586667</v>
      </c>
    </row>
    <row r="49" spans="2:9" x14ac:dyDescent="0.25">
      <c r="B49" s="56">
        <v>19</v>
      </c>
      <c r="C49" s="57" t="s">
        <v>217</v>
      </c>
      <c r="D49" s="27">
        <v>3962692.6670586667</v>
      </c>
      <c r="E49" s="27">
        <v>780739.28499705996</v>
      </c>
      <c r="F49" s="27">
        <v>29720.19500294</v>
      </c>
      <c r="G49" s="27">
        <v>810459.48</v>
      </c>
      <c r="H49" s="58">
        <v>3181953.3820616067</v>
      </c>
    </row>
    <row r="50" spans="2:9" x14ac:dyDescent="0.25">
      <c r="B50" s="50">
        <v>20</v>
      </c>
      <c r="C50" s="51" t="s">
        <v>218</v>
      </c>
      <c r="D50" s="30">
        <v>3181953.3820616067</v>
      </c>
      <c r="E50" s="30">
        <v>786594.82963453792</v>
      </c>
      <c r="F50" s="30">
        <v>23864.65036546205</v>
      </c>
      <c r="G50" s="30">
        <v>810459.48</v>
      </c>
      <c r="H50" s="55">
        <v>2395358.5524270688</v>
      </c>
      <c r="I50" s="5">
        <f>SUM(F47:F50)</f>
        <v>130417.8351262623</v>
      </c>
    </row>
    <row r="51" spans="2:9" x14ac:dyDescent="0.25">
      <c r="B51" s="56">
        <v>21</v>
      </c>
      <c r="C51" s="57" t="s">
        <v>219</v>
      </c>
      <c r="D51" s="27">
        <v>2395358.5524270688</v>
      </c>
      <c r="E51" s="27">
        <v>792494.29085679702</v>
      </c>
      <c r="F51" s="27">
        <v>17965.189143203017</v>
      </c>
      <c r="G51" s="27">
        <v>810459.48</v>
      </c>
      <c r="H51" s="58">
        <v>1602864.2615702718</v>
      </c>
    </row>
    <row r="52" spans="2:9" x14ac:dyDescent="0.25">
      <c r="B52" s="56">
        <v>22</v>
      </c>
      <c r="C52" s="57" t="s">
        <v>220</v>
      </c>
      <c r="D52" s="27">
        <v>1602864.2615702718</v>
      </c>
      <c r="E52" s="27">
        <v>798437.9980382229</v>
      </c>
      <c r="F52" s="27">
        <v>12021.481961777037</v>
      </c>
      <c r="G52" s="27">
        <v>810459.48</v>
      </c>
      <c r="H52" s="58">
        <v>804426.26353204891</v>
      </c>
    </row>
    <row r="53" spans="2:9" x14ac:dyDescent="0.25">
      <c r="B53" s="50">
        <v>23</v>
      </c>
      <c r="C53" s="51" t="s">
        <v>221</v>
      </c>
      <c r="D53" s="30">
        <v>804426.26353204891</v>
      </c>
      <c r="E53" s="30">
        <v>804426.28302350966</v>
      </c>
      <c r="F53" s="30">
        <v>6033.196976490367</v>
      </c>
      <c r="G53" s="30">
        <v>810459.48</v>
      </c>
      <c r="H53" s="55">
        <v>-1.9491460756398737E-2</v>
      </c>
      <c r="I53" s="5">
        <f>SUM(F51:F53)</f>
        <v>36019.86808147042</v>
      </c>
    </row>
    <row r="57" spans="2:9" x14ac:dyDescent="0.25">
      <c r="B57" s="73" t="s">
        <v>235</v>
      </c>
      <c r="C57" s="73"/>
      <c r="D57" s="73"/>
      <c r="E57" s="73"/>
      <c r="F57" s="73"/>
      <c r="G57" s="73"/>
      <c r="H57" s="73"/>
    </row>
    <row r="59" spans="2:9" x14ac:dyDescent="0.25">
      <c r="B59" s="47"/>
      <c r="C59" s="48">
        <v>0.1</v>
      </c>
      <c r="D59" s="48"/>
      <c r="E59" s="48"/>
      <c r="F59" s="48"/>
      <c r="G59" s="48"/>
      <c r="H59" s="49" t="s">
        <v>228</v>
      </c>
    </row>
    <row r="60" spans="2:9" x14ac:dyDescent="0.25">
      <c r="B60" s="50" t="s">
        <v>222</v>
      </c>
      <c r="C60" s="51" t="s">
        <v>172</v>
      </c>
      <c r="D60" s="51" t="s">
        <v>173</v>
      </c>
      <c r="E60" s="51" t="s">
        <v>174</v>
      </c>
      <c r="F60" s="51" t="s">
        <v>175</v>
      </c>
      <c r="G60" s="51" t="s">
        <v>176</v>
      </c>
      <c r="H60" s="52" t="s">
        <v>177</v>
      </c>
    </row>
    <row r="61" spans="2:9" x14ac:dyDescent="0.25">
      <c r="B61" s="56">
        <v>1</v>
      </c>
      <c r="C61" s="57" t="s">
        <v>223</v>
      </c>
      <c r="D61" s="27">
        <v>96378</v>
      </c>
      <c r="E61" s="27"/>
      <c r="F61" s="27">
        <v>2409.4499999999998</v>
      </c>
      <c r="G61" s="27"/>
      <c r="H61" s="58">
        <v>96378</v>
      </c>
    </row>
    <row r="62" spans="2:9" x14ac:dyDescent="0.25">
      <c r="B62" s="56">
        <v>2</v>
      </c>
      <c r="C62" s="57" t="s">
        <v>224</v>
      </c>
      <c r="D62" s="27">
        <v>96378</v>
      </c>
      <c r="E62" s="27"/>
      <c r="F62" s="27">
        <v>2409.4499999999998</v>
      </c>
      <c r="G62" s="27"/>
      <c r="H62" s="58">
        <v>96378</v>
      </c>
    </row>
    <row r="63" spans="2:9" x14ac:dyDescent="0.25">
      <c r="B63" s="50">
        <v>3</v>
      </c>
      <c r="C63" s="51" t="s">
        <v>225</v>
      </c>
      <c r="D63" s="30">
        <v>96378</v>
      </c>
      <c r="E63" s="30"/>
      <c r="F63" s="30">
        <v>2409.4499999999998</v>
      </c>
      <c r="G63" s="30"/>
      <c r="H63" s="55">
        <v>96378</v>
      </c>
    </row>
    <row r="64" spans="2:9" x14ac:dyDescent="0.25">
      <c r="B64" s="56">
        <v>4</v>
      </c>
      <c r="C64" s="57" t="s">
        <v>226</v>
      </c>
      <c r="D64" s="27">
        <v>96378</v>
      </c>
      <c r="E64" s="27"/>
      <c r="F64" s="27">
        <v>2409.4499999999998</v>
      </c>
      <c r="G64" s="27"/>
      <c r="H64" s="58">
        <v>96378</v>
      </c>
    </row>
    <row r="65" spans="2:9" x14ac:dyDescent="0.25">
      <c r="B65" s="56">
        <v>5</v>
      </c>
      <c r="C65" s="57" t="s">
        <v>227</v>
      </c>
      <c r="D65" s="27">
        <v>96378</v>
      </c>
      <c r="E65" s="27">
        <v>4973.01</v>
      </c>
      <c r="F65" s="27">
        <v>2409.4499999999998</v>
      </c>
      <c r="G65" s="27">
        <v>7382.46</v>
      </c>
      <c r="H65" s="58">
        <v>91404.99</v>
      </c>
    </row>
    <row r="66" spans="2:9" x14ac:dyDescent="0.25">
      <c r="B66" s="56">
        <v>6</v>
      </c>
      <c r="C66" s="57" t="s">
        <v>178</v>
      </c>
      <c r="D66" s="27">
        <v>91404.99</v>
      </c>
      <c r="E66" s="27">
        <v>5097.3352500000001</v>
      </c>
      <c r="F66" s="27">
        <v>2285.1247500000004</v>
      </c>
      <c r="G66" s="27">
        <v>7382.46</v>
      </c>
      <c r="H66" s="58">
        <v>86307.654750000002</v>
      </c>
    </row>
    <row r="67" spans="2:9" x14ac:dyDescent="0.25">
      <c r="B67" s="50">
        <v>7</v>
      </c>
      <c r="C67" s="51" t="s">
        <v>179</v>
      </c>
      <c r="D67" s="30">
        <v>86307.654750000002</v>
      </c>
      <c r="E67" s="30">
        <v>5224.76863125</v>
      </c>
      <c r="F67" s="30">
        <v>2157.69136875</v>
      </c>
      <c r="G67" s="30">
        <v>7382.46</v>
      </c>
      <c r="H67" s="55">
        <v>81082.886118750001</v>
      </c>
    </row>
    <row r="68" spans="2:9" x14ac:dyDescent="0.25">
      <c r="B68" s="56">
        <v>8</v>
      </c>
      <c r="C68" s="57" t="s">
        <v>180</v>
      </c>
      <c r="D68" s="27">
        <v>81082.886118750001</v>
      </c>
      <c r="E68" s="27">
        <v>5355.3878470312502</v>
      </c>
      <c r="F68" s="27">
        <v>2027.0721529687501</v>
      </c>
      <c r="G68" s="27">
        <v>7382.46</v>
      </c>
      <c r="H68" s="58">
        <v>75727.498271718752</v>
      </c>
    </row>
    <row r="69" spans="2:9" x14ac:dyDescent="0.25">
      <c r="B69" s="56">
        <v>9</v>
      </c>
      <c r="C69" s="57" t="s">
        <v>181</v>
      </c>
      <c r="D69" s="27">
        <v>75727.498271718752</v>
      </c>
      <c r="E69" s="27">
        <v>5489.272543207031</v>
      </c>
      <c r="F69" s="27">
        <v>1893.187456792969</v>
      </c>
      <c r="G69" s="27">
        <v>7382.46</v>
      </c>
      <c r="H69" s="58">
        <v>70238.225728511723</v>
      </c>
    </row>
    <row r="70" spans="2:9" x14ac:dyDescent="0.25">
      <c r="B70" s="56">
        <v>10</v>
      </c>
      <c r="C70" s="57" t="s">
        <v>182</v>
      </c>
      <c r="D70" s="27">
        <v>70238.225728511723</v>
      </c>
      <c r="E70" s="27">
        <v>5626.5043567872071</v>
      </c>
      <c r="F70" s="27">
        <v>1755.9556432127931</v>
      </c>
      <c r="G70" s="27">
        <v>7382.46</v>
      </c>
      <c r="H70" s="58">
        <v>64611.721371724518</v>
      </c>
    </row>
    <row r="71" spans="2:9" x14ac:dyDescent="0.25">
      <c r="B71" s="50">
        <v>11</v>
      </c>
      <c r="C71" s="51" t="s">
        <v>183</v>
      </c>
      <c r="D71" s="30">
        <v>64611.721371724518</v>
      </c>
      <c r="E71" s="30">
        <v>5767.1669657068869</v>
      </c>
      <c r="F71" s="30">
        <v>1615.2930342931131</v>
      </c>
      <c r="G71" s="30">
        <v>7382.46</v>
      </c>
      <c r="H71" s="55">
        <v>58844.554406017633</v>
      </c>
    </row>
    <row r="72" spans="2:9" x14ac:dyDescent="0.25">
      <c r="B72" s="56">
        <v>12</v>
      </c>
      <c r="C72" s="57" t="s">
        <v>184</v>
      </c>
      <c r="D72" s="27">
        <v>58844.554406017633</v>
      </c>
      <c r="E72" s="27">
        <v>5911.3461398495592</v>
      </c>
      <c r="F72" s="27">
        <v>1471.1138601504408</v>
      </c>
      <c r="G72" s="27">
        <v>7382.46</v>
      </c>
      <c r="H72" s="58">
        <v>52933.208266168076</v>
      </c>
    </row>
    <row r="73" spans="2:9" x14ac:dyDescent="0.25">
      <c r="B73" s="56">
        <v>13</v>
      </c>
      <c r="C73" s="57" t="s">
        <v>185</v>
      </c>
      <c r="D73" s="27">
        <v>52933.208266168076</v>
      </c>
      <c r="E73" s="27">
        <v>6059.1297933457981</v>
      </c>
      <c r="F73" s="27">
        <v>1323.3302066542019</v>
      </c>
      <c r="G73" s="27">
        <v>7382.46</v>
      </c>
      <c r="H73" s="58">
        <v>46874.078472822279</v>
      </c>
    </row>
    <row r="74" spans="2:9" x14ac:dyDescent="0.25">
      <c r="B74" s="56">
        <v>14</v>
      </c>
      <c r="C74" s="57" t="s">
        <v>186</v>
      </c>
      <c r="D74" s="27">
        <v>46874.078472822279</v>
      </c>
      <c r="E74" s="27">
        <v>6210.6080381794427</v>
      </c>
      <c r="F74" s="27">
        <v>1171.8519618205571</v>
      </c>
      <c r="G74" s="27">
        <v>7382.46</v>
      </c>
      <c r="H74" s="58">
        <v>40663.470434642833</v>
      </c>
    </row>
    <row r="75" spans="2:9" x14ac:dyDescent="0.25">
      <c r="B75" s="50">
        <v>15</v>
      </c>
      <c r="C75" s="51" t="s">
        <v>187</v>
      </c>
      <c r="D75" s="30">
        <v>40663.470434642833</v>
      </c>
      <c r="E75" s="30">
        <v>6365.873239133929</v>
      </c>
      <c r="F75" s="30">
        <v>1016.5867608660709</v>
      </c>
      <c r="G75" s="30">
        <v>7382.46</v>
      </c>
      <c r="H75" s="55">
        <v>34297.597195508904</v>
      </c>
    </row>
    <row r="76" spans="2:9" x14ac:dyDescent="0.25">
      <c r="B76" s="56">
        <v>16</v>
      </c>
      <c r="C76" s="57" t="s">
        <v>188</v>
      </c>
      <c r="D76" s="27">
        <v>34297.597195508904</v>
      </c>
      <c r="E76" s="27">
        <v>6525.0200701122776</v>
      </c>
      <c r="F76" s="27">
        <v>857.43992988772266</v>
      </c>
      <c r="G76" s="27">
        <v>7382.46</v>
      </c>
      <c r="H76" s="58">
        <v>27772.577125396627</v>
      </c>
    </row>
    <row r="77" spans="2:9" x14ac:dyDescent="0.25">
      <c r="B77" s="56">
        <v>17</v>
      </c>
      <c r="C77" s="57" t="s">
        <v>189</v>
      </c>
      <c r="D77" s="27">
        <v>27772.577125396627</v>
      </c>
      <c r="E77" s="27">
        <v>6688.1455718650841</v>
      </c>
      <c r="F77" s="27">
        <v>694.31442813491572</v>
      </c>
      <c r="G77" s="27">
        <v>7382.46</v>
      </c>
      <c r="H77" s="58">
        <v>21084.431553531544</v>
      </c>
    </row>
    <row r="78" spans="2:9" x14ac:dyDescent="0.25">
      <c r="B78" s="56">
        <v>18</v>
      </c>
      <c r="C78" s="57" t="s">
        <v>190</v>
      </c>
      <c r="D78" s="27">
        <v>21084.431553531544</v>
      </c>
      <c r="E78" s="27">
        <v>6855.3492111617115</v>
      </c>
      <c r="F78" s="27">
        <v>527.11078883828861</v>
      </c>
      <c r="G78" s="27">
        <v>7382.46</v>
      </c>
      <c r="H78" s="58">
        <v>14229.082342369831</v>
      </c>
    </row>
    <row r="79" spans="2:9" x14ac:dyDescent="0.25">
      <c r="B79" s="50">
        <v>19</v>
      </c>
      <c r="C79" s="51" t="s">
        <v>191</v>
      </c>
      <c r="D79" s="30">
        <v>14229.082342369831</v>
      </c>
      <c r="E79" s="30">
        <v>7026.7329414407541</v>
      </c>
      <c r="F79" s="30">
        <v>355.72705855924579</v>
      </c>
      <c r="G79" s="30">
        <v>7382.46</v>
      </c>
      <c r="H79" s="55">
        <v>7202.3494009290771</v>
      </c>
    </row>
    <row r="80" spans="2:9" x14ac:dyDescent="0.25">
      <c r="B80" s="50">
        <v>20</v>
      </c>
      <c r="C80" s="51" t="s">
        <v>192</v>
      </c>
      <c r="D80" s="30">
        <v>7202.3494009290771</v>
      </c>
      <c r="E80" s="30">
        <v>7202.4012649767728</v>
      </c>
      <c r="F80" s="30">
        <v>180.05873502322694</v>
      </c>
      <c r="G80" s="30">
        <v>7382.46</v>
      </c>
      <c r="H80" s="55">
        <v>-5.1864047695744375E-2</v>
      </c>
      <c r="I80" s="5">
        <f>F80</f>
        <v>180.05873502322694</v>
      </c>
    </row>
  </sheetData>
  <mergeCells count="3">
    <mergeCell ref="B1:H1"/>
    <mergeCell ref="B27:H27"/>
    <mergeCell ref="B57:H57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3:J7"/>
  <sheetViews>
    <sheetView workbookViewId="0">
      <selection activeCell="C3" sqref="C3:I3"/>
    </sheetView>
  </sheetViews>
  <sheetFormatPr defaultRowHeight="13.5" x14ac:dyDescent="0.25"/>
  <cols>
    <col min="1" max="1" width="9.140625" style="1"/>
    <col min="2" max="2" width="20.140625" style="1" bestFit="1" customWidth="1"/>
    <col min="3" max="16384" width="9.140625" style="1"/>
  </cols>
  <sheetData>
    <row r="3" spans="2:10" ht="15" x14ac:dyDescent="0.3">
      <c r="C3" s="2">
        <v>2014</v>
      </c>
      <c r="D3" s="2">
        <v>2015</v>
      </c>
      <c r="E3" s="2">
        <v>2016</v>
      </c>
      <c r="F3" s="2">
        <v>2017</v>
      </c>
      <c r="G3" s="2">
        <v>2018</v>
      </c>
      <c r="H3" s="2">
        <v>2019</v>
      </c>
      <c r="I3" s="2">
        <v>2020</v>
      </c>
    </row>
    <row r="4" spans="2:10" x14ac:dyDescent="0.25">
      <c r="B4" s="1" t="s">
        <v>238</v>
      </c>
      <c r="C4" s="15">
        <v>0</v>
      </c>
      <c r="D4" s="15">
        <f>Krediti!I34/1000</f>
        <v>450</v>
      </c>
      <c r="E4" s="15">
        <f>Krediti!I38/1000</f>
        <v>397.25896232583443</v>
      </c>
      <c r="F4" s="15">
        <f>Krediti!I42/1000</f>
        <v>310.95673896997772</v>
      </c>
      <c r="G4" s="15">
        <f>Krediti!I46/1000</f>
        <v>222.03617600499521</v>
      </c>
      <c r="H4" s="15">
        <f>Krediti!I50/1000</f>
        <v>130.4178351262623</v>
      </c>
      <c r="I4" s="15">
        <f>Krediti!I53/1000</f>
        <v>36.01986808147042</v>
      </c>
    </row>
    <row r="5" spans="2:10" x14ac:dyDescent="0.25">
      <c r="B5" s="1" t="s">
        <v>243</v>
      </c>
      <c r="C5" s="3">
        <v>164.42680519797921</v>
      </c>
      <c r="D5" s="3">
        <v>197.79850583204495</v>
      </c>
      <c r="E5" s="3">
        <v>121.25298625095633</v>
      </c>
      <c r="F5" s="3">
        <v>18.923361786026831</v>
      </c>
      <c r="G5" s="3">
        <v>2.8875623890590165</v>
      </c>
      <c r="H5" s="3">
        <v>0</v>
      </c>
      <c r="I5" s="3">
        <v>0</v>
      </c>
      <c r="J5" s="5"/>
    </row>
    <row r="6" spans="2:10" ht="15.75" thickBot="1" x14ac:dyDescent="0.35">
      <c r="B6" s="2" t="s">
        <v>244</v>
      </c>
      <c r="C6" s="5"/>
      <c r="D6" s="24">
        <f t="shared" ref="D6:I6" si="0">+D4+D5</f>
        <v>647.79850583204495</v>
      </c>
      <c r="E6" s="24">
        <f t="shared" si="0"/>
        <v>518.5119485767907</v>
      </c>
      <c r="F6" s="24">
        <f t="shared" si="0"/>
        <v>329.88010075600454</v>
      </c>
      <c r="G6" s="24">
        <f t="shared" si="0"/>
        <v>224.92373839405423</v>
      </c>
      <c r="H6" s="24">
        <f t="shared" si="0"/>
        <v>130.4178351262623</v>
      </c>
      <c r="I6" s="24">
        <f t="shared" si="0"/>
        <v>36.01986808147042</v>
      </c>
    </row>
    <row r="7" spans="2:10" ht="14.25" thickTop="1" x14ac:dyDescent="0.25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4:I7"/>
  <sheetViews>
    <sheetView workbookViewId="0">
      <selection activeCell="D4" sqref="D4:I4"/>
    </sheetView>
  </sheetViews>
  <sheetFormatPr defaultRowHeight="13.5" x14ac:dyDescent="0.25"/>
  <cols>
    <col min="1" max="1" width="9.140625" style="1"/>
    <col min="2" max="2" width="25" style="1" bestFit="1" customWidth="1"/>
    <col min="3" max="3" width="9.140625" style="1"/>
    <col min="4" max="5" width="10.140625" style="1" bestFit="1" customWidth="1"/>
    <col min="6" max="16384" width="9.140625" style="1"/>
  </cols>
  <sheetData>
    <row r="4" spans="2:9" ht="15" x14ac:dyDescent="0.3">
      <c r="C4" s="2">
        <v>2014</v>
      </c>
      <c r="D4" s="2">
        <v>2015</v>
      </c>
      <c r="E4" s="2">
        <v>2016</v>
      </c>
      <c r="F4" s="2">
        <v>2017</v>
      </c>
      <c r="G4" s="2">
        <v>2018</v>
      </c>
      <c r="H4" s="2">
        <v>2019</v>
      </c>
      <c r="I4" s="2">
        <v>2020</v>
      </c>
    </row>
    <row r="5" spans="2:9" ht="15" x14ac:dyDescent="0.3">
      <c r="B5" s="2" t="s">
        <v>239</v>
      </c>
      <c r="C5" s="27">
        <v>9418.3886899999998</v>
      </c>
      <c r="D5" s="27">
        <v>14302.040519999999</v>
      </c>
      <c r="E5" s="27">
        <v>11457.461562325834</v>
      </c>
      <c r="F5" s="27">
        <v>8526.5803812958111</v>
      </c>
      <c r="G5" s="27">
        <v>5506.7786373008057</v>
      </c>
      <c r="H5" s="27">
        <v>2395.3585524270688</v>
      </c>
      <c r="I5" s="27">
        <v>-1.9491460756398737E-5</v>
      </c>
    </row>
    <row r="6" spans="2:9" ht="15" x14ac:dyDescent="0.3">
      <c r="B6" s="2" t="s">
        <v>240</v>
      </c>
      <c r="C6" s="30">
        <v>3676</v>
      </c>
      <c r="D6" s="30">
        <v>2909</v>
      </c>
      <c r="E6" s="30">
        <v>754</v>
      </c>
      <c r="F6" s="30">
        <v>171</v>
      </c>
      <c r="G6" s="30">
        <v>0</v>
      </c>
      <c r="H6" s="30">
        <v>0</v>
      </c>
      <c r="I6" s="30">
        <v>0</v>
      </c>
    </row>
    <row r="7" spans="2:9" ht="15" x14ac:dyDescent="0.3">
      <c r="B7" s="2" t="s">
        <v>241</v>
      </c>
      <c r="C7" s="61">
        <f>C5+C6</f>
        <v>13094.38869</v>
      </c>
      <c r="D7" s="61">
        <f t="shared" ref="D7:I7" si="0">D5+D6</f>
        <v>17211.040519999999</v>
      </c>
      <c r="E7" s="61">
        <f t="shared" si="0"/>
        <v>12211.461562325834</v>
      </c>
      <c r="F7" s="61">
        <f t="shared" si="0"/>
        <v>8697.5803812958111</v>
      </c>
      <c r="G7" s="61">
        <f t="shared" si="0"/>
        <v>5506.7786373008057</v>
      </c>
      <c r="H7" s="61">
        <f t="shared" si="0"/>
        <v>2395.3585524270688</v>
      </c>
      <c r="I7" s="61">
        <f t="shared" si="0"/>
        <v>-1.9491460756398737E-5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Prihodi - količinski</vt:lpstr>
      <vt:lpstr>Poslovni prihodi</vt:lpstr>
      <vt:lpstr>Finansijski prihodi</vt:lpstr>
      <vt:lpstr>Dugorocni finansijski plasmani</vt:lpstr>
      <vt:lpstr>Poslovni rashodi</vt:lpstr>
      <vt:lpstr>Amortizacija</vt:lpstr>
      <vt:lpstr>Krediti</vt:lpstr>
      <vt:lpstr>Finansijski rashodi</vt:lpstr>
      <vt:lpstr>Dugorocne obaveze</vt:lpstr>
      <vt:lpstr>Obrtna imovina</vt:lpstr>
      <vt:lpstr>BU</vt:lpstr>
      <vt:lpstr>BS</vt:lpstr>
      <vt:lpstr>NT</vt:lpstr>
    </vt:vector>
  </TitlesOfParts>
  <Company>BDO BCEXCEL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milosv</dc:creator>
  <cp:lastModifiedBy>Bojan</cp:lastModifiedBy>
  <dcterms:created xsi:type="dcterms:W3CDTF">2008-02-04T09:03:06Z</dcterms:created>
  <dcterms:modified xsi:type="dcterms:W3CDTF">2015-10-12T06:27:47Z</dcterms:modified>
</cp:coreProperties>
</file>